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tjHu5F0X2qqY3Xyu0pZYokUEucNkkeBoFwNPBcPITUmuuDkYq5fqZx3nVWS1t22AdNXkZjbZWQgcDpE+PSM71g==" workbookSaltValue="PQ9UIDNxlVylYS2INZvqf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L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EP19" i="8"/>
  <c r="EP19" i="19"/>
  <c r="AT17" i="20"/>
  <c r="AL9" i="11"/>
  <c r="K18" i="2"/>
  <c r="F9" i="2"/>
  <c r="M13" i="2"/>
  <c r="N13" i="2"/>
  <c r="H13" i="12"/>
  <c r="T13" i="12"/>
  <c r="T13" i="16"/>
  <c r="T13" i="20"/>
  <c r="BB13" i="13"/>
  <c r="BF9" i="8"/>
  <c r="J18" i="17"/>
  <c r="BG15" i="13"/>
  <c r="BA18" i="13"/>
  <c r="BE15" i="13"/>
  <c r="AO20" i="20"/>
  <c r="AN20" i="20"/>
  <c r="Y20" i="20"/>
  <c r="U10" i="11"/>
  <c r="AH20" i="20"/>
  <c r="AL20" i="20"/>
  <c r="AB20" i="20"/>
  <c r="AJ19" i="8" l="1"/>
  <c r="T19" i="8"/>
  <c r="BD12" i="8"/>
  <c r="AC10" i="11"/>
  <c r="AY13" i="8"/>
  <c r="B10" i="6"/>
  <c r="E12" i="6"/>
  <c r="AO12" i="11"/>
  <c r="H12" i="2"/>
  <c r="H12" i="7"/>
  <c r="L9" i="14"/>
  <c r="C10" i="6"/>
  <c r="C17" i="6"/>
  <c r="R8" i="9"/>
  <c r="BF15" i="13"/>
  <c r="BG16" i="13"/>
  <c r="BE16" i="13"/>
  <c r="BG15" i="8"/>
  <c r="K15" i="7" s="1"/>
  <c r="BD16" i="8"/>
  <c r="AO17" i="11"/>
  <c r="L16" i="14"/>
  <c r="L17" i="14"/>
  <c r="F15" i="17"/>
  <c r="AQ15" i="17" s="1"/>
  <c r="L12" i="14"/>
  <c r="AY13" i="13"/>
  <c r="BA13" i="13"/>
  <c r="L9" i="2"/>
  <c r="L16" i="2"/>
  <c r="BJ16" i="11"/>
  <c r="BH16" i="11"/>
  <c r="BH11" i="11"/>
  <c r="X12" i="21"/>
  <c r="T9" i="11"/>
  <c r="BF11" i="11"/>
  <c r="BH11" i="16"/>
  <c r="BL9" i="11"/>
  <c r="BH17" i="16"/>
  <c r="BI10" i="11"/>
  <c r="R10" i="21"/>
  <c r="R13" i="21" s="1"/>
  <c r="BH17" i="11"/>
  <c r="T15" i="16"/>
  <c r="BU10" i="17"/>
  <c r="BW12" i="20"/>
  <c r="BW10" i="20"/>
  <c r="V12" i="16"/>
  <c r="BG12" i="11"/>
  <c r="BI9" i="1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BG10" i="11"/>
  <c r="BM16" i="11"/>
  <c r="P17" i="17"/>
  <c r="BL17" i="11"/>
  <c r="BK12" i="11"/>
  <c r="BF10" i="11"/>
  <c r="BK9" i="11"/>
  <c r="BK15" i="11"/>
  <c r="V11" i="11"/>
  <c r="Q10" i="21"/>
  <c r="V9" i="11"/>
  <c r="BJ11" i="11"/>
  <c r="BI17" i="11"/>
  <c r="BG9" i="11"/>
  <c r="BL11" i="11"/>
  <c r="BM15" i="11"/>
  <c r="T17" i="16"/>
  <c r="BU11" i="17"/>
  <c r="BV17" i="16"/>
  <c r="BV12" i="16"/>
  <c r="BV11" i="16"/>
  <c r="BW11" i="20"/>
  <c r="U10" i="17"/>
  <c r="BU12" i="17"/>
  <c r="AZ12" i="11"/>
  <c r="Q17" i="17"/>
  <c r="BH10"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C13" i="6" l="1"/>
  <c r="F13" i="2"/>
  <c r="J13" i="2"/>
  <c r="J18" i="2"/>
  <c r="BG13" i="13"/>
  <c r="BJ10" i="11"/>
  <c r="AQ10" i="21"/>
  <c r="BG16" i="11"/>
  <c r="Q16" i="11" s="1"/>
  <c r="BL16" i="11"/>
  <c r="AQ12" i="21"/>
  <c r="U9" i="17"/>
  <c r="U19" i="17" s="1"/>
  <c r="BK16"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AO18" i="17" l="1"/>
  <c r="B19" i="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<sst xmlns="http://schemas.openxmlformats.org/spreadsheetml/2006/main" count="2102" uniqueCount="917">
  <si>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</si>
  <si>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</si>
  <si>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</si>
  <si>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</si>
  <si>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</si>
  <si>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</si>
  <si>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</si>
  <si>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</si>
  <si>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</si>
  <si>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</si>
  <si>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</si>
  <si>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</si>
  <si>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</si>
  <si>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</si>
  <si>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</si>
  <si>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</si>
  <si>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</si>
  <si>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</si>
  <si>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</si>
  <si>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</si>
  <si>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</si>
  <si>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</si>
  <si>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</si>
  <si>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</si>
  <si>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</si>
  <si>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</si>
  <si>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</si>
  <si>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</si>
  <si>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</si>
  <si>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</si>
  <si>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</si>
  <si>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</si>
  <si>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</si>
  <si>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</si>
  <si>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</si>
  <si>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</si>
  <si>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</si>
  <si>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</si>
  <si>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</si>
  <si>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</si>
  <si>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</si>
  <si>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</si>
  <si>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</si>
  <si>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</si>
  <si>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</si>
  <si>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</si>
  <si>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</si>
  <si>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</si>
  <si>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</si>
  <si>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</si>
  <si>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</si>
  <si>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</si>
  <si>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</si>
  <si>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</si>
  <si>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</si>
  <si>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</si>
  <si>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</si>
  <si>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</si>
  <si>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</si>
  <si>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</si>
  <si>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</si>
  <si>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</si>
  <si>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</si>
  <si>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</si>
  <si>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</si>
  <si>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</si>
  <si>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</si>
  <si>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</si>
  <si>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</si>
  <si>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</si>
  <si>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</si>
  <si>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</si>
  <si>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</si>
  <si>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</si>
  <si>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</si>
  <si>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</si>
  <si>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</si>
  <si>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</si>
  <si>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</si>
  <si>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</si>
  <si>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</si>
  <si>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</si>
  <si>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</si>
  <si>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</si>
  <si>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</si>
  <si>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</si>
  <si>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</si>
  <si>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</si>
  <si>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</si>
  <si>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</si>
  <si>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</si>
  <si>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</si>
  <si>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</si>
  <si>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</si>
  <si>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</si>
  <si>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</si>
  <si>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</si>
  <si>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</si>
  <si>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</si>
  <si>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</si>
  <si>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</si>
  <si>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</si>
  <si>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</si>
  <si>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</si>
  <si>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</si>
  <si>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</si>
  <si>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</si>
  <si>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</si>
  <si>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</si>
  <si>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</si>
  <si>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</si>
  <si>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</si>
  <si>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</si>
  <si>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</si>
  <si>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</si>
  <si>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</si>
  <si>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</si>
  <si>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</si>
  <si>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</si>
  <si>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</si>
  <si>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</si>
  <si>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</si>
  <si>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</si>
  <si>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</si>
  <si>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</si>
  <si>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</si>
  <si>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</si>
  <si>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</si>
  <si>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</si>
  <si>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</si>
  <si>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</si>
  <si>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</si>
  <si>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</si>
  <si>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</si>
  <si>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</si>
  <si>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</si>
  <si>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</si>
  <si>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</si>
  <si>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</si>
  <si>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</si>
  <si>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</si>
  <si>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</si>
  <si>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</si>
  <si>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</si>
  <si>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</si>
  <si>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</si>
  <si>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</si>
  <si>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</si>
  <si>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</si>
  <si>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</si>
  <si>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</si>
  <si>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</si>
  <si>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</si>
  <si>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</si>
  <si>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</si>
  <si>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</si>
  <si>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</si>
  <si>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</si>
  <si>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</si>
  <si>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</si>
  <si>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</si>
  <si>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</si>
  <si>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</si>
  <si>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</si>
  <si>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</si>
  <si>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</si>
  <si>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</si>
  <si>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</si>
  <si>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</si>
  <si>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</si>
  <si>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</si>
  <si>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</si>
  <si>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</si>
  <si>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</si>
  <si>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</si>
  <si>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</si>
  <si>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</si>
  <si>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</si>
  <si>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</si>
  <si>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</si>
  <si>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</si>
  <si>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</si>
  <si>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</si>
  <si>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</si>
  <si>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</si>
  <si>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</si>
  <si>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</si>
  <si>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</si>
  <si>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</si>
  <si>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</si>
  <si>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</si>
  <si>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</si>
  <si>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</si>
  <si>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</si>
  <si>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</si>
  <si>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</si>
  <si>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</si>
  <si>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</si>
  <si>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</si>
  <si>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</si>
  <si>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</si>
  <si>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</si>
  <si>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</si>
  <si>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</si>
  <si>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</si>
  <si>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</si>
  <si>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</si>
  <si>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</si>
  <si>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</si>
  <si>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</si>
  <si>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</si>
  <si>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</si>
  <si>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</si>
  <si>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</si>
  <si>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</si>
  <si>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</si>
  <si>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</si>
  <si>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</si>
  <si>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</si>
  <si>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</si>
  <si>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</si>
  <si>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</si>
  <si>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</si>
  <si>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</si>
  <si>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</si>
  <si>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</si>
  <si>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</si>
  <si>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</si>
  <si>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</si>
  <si>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</si>
  <si>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</si>
  <si>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</si>
  <si>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</si>
  <si>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</si>
  <si>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</si>
  <si>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</si>
  <si>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</si>
  <si>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</si>
  <si>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</si>
  <si>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</si>
  <si>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</si>
  <si>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</si>
  <si>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</si>
  <si>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</si>
  <si>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</si>
  <si>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</si>
  <si>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</si>
  <si>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</si>
  <si>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</si>
  <si>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</si>
  <si>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</si>
  <si>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</si>
  <si>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</si>
  <si>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</si>
  <si>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</si>
  <si>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</si>
  <si>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</si>
  <si>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</si>
  <si>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</si>
  <si>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</si>
  <si>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</si>
  <si>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</si>
  <si>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</si>
  <si>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</si>
  <si>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</si>
  <si>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</si>
  <si>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</si>
  <si>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</si>
  <si>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</si>
  <si>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</si>
  <si>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</si>
  <si>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</si>
  <si>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</si>
  <si>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</si>
  <si>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</si>
  <si>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</si>
  <si>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</si>
  <si>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</si>
  <si>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</si>
  <si>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</si>
  <si>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</si>
  <si>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</si>
  <si>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</si>
  <si>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</si>
  <si>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</si>
  <si>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</si>
  <si>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</si>
  <si>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</si>
  <si>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</si>
  <si>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</si>
  <si>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</si>
  <si>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</si>
  <si>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</si>
  <si>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</si>
  <si>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</si>
  <si>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</si>
  <si>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</si>
  <si>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</si>
  <si>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</si>
  <si>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</si>
  <si>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</si>
  <si>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</si>
  <si>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</si>
  <si>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</si>
  <si>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</si>
  <si>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</si>
  <si>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</si>
  <si>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</si>
  <si>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</si>
  <si>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</si>
  <si>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</si>
  <si>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</si>
  <si>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</si>
  <si>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</si>
  <si>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</si>
  <si>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</si>
  <si>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</si>
  <si>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</si>
  <si>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</si>
  <si>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</si>
  <si>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</si>
  <si>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</si>
  <si>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</si>
  <si>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</si>
  <si>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</si>
  <si>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</si>
  <si>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</si>
  <si>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</si>
  <si>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</si>
  <si>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</si>
  <si>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</si>
  <si>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</si>
  <si>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</si>
  <si>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</si>
  <si>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</si>
  <si>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</si>
  <si>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</si>
  <si>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</si>
  <si>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</si>
  <si>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</si>
  <si>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</si>
  <si>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</si>
  <si>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</si>
  <si>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</si>
  <si>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</si>
  <si>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</si>
  <si>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</si>
  <si>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</si>
  <si>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</si>
  <si>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</si>
  <si>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</si>
  <si>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</si>
  <si>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</si>
  <si>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</si>
  <si>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</si>
  <si>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</si>
  <si>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</si>
  <si>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</si>
  <si>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</si>
  <si>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</si>
  <si>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</si>
  <si>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</si>
  <si>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</si>
  <si>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</si>
  <si>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</si>
  <si>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</si>
  <si>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</si>
  <si>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</si>
  <si>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</si>
  <si>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</si>
  <si>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</si>
  <si>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</si>
  <si>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</si>
  <si>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</si>
  <si>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</si>
  <si>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</si>
  <si>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</si>
  <si>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</si>
  <si>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</si>
  <si>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</si>
  <si>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</si>
  <si>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</si>
  <si>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</si>
  <si>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</si>
  <si>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</si>
  <si>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</si>
  <si>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</si>
  <si>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</si>
  <si>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</si>
  <si>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</si>
  <si>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</si>
  <si>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</si>
  <si>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</si>
  <si>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</si>
  <si>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</si>
  <si>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</si>
  <si>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</si>
  <si>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</si>
  <si>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</si>
  <si>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</si>
  <si>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</si>
  <si>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</si>
  <si>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</si>
  <si>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</si>
  <si>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</si>
  <si>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</si>
  <si>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</si>
  <si>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</si>
  <si>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</si>
  <si>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</si>
  <si>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</si>
  <si>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</si>
  <si>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</si>
  <si>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</si>
  <si>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</si>
  <si>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</si>
  <si>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</si>
  <si>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</si>
  <si>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</si>
  <si>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</si>
  <si>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</si>
  <si>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</si>
  <si>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</si>
  <si>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</si>
  <si>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</si>
  <si>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</si>
  <si>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</si>
  <si>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</si>
  <si>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</si>
  <si>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</si>
  <si>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</si>
  <si>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</si>
  <si>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</si>
  <si>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</si>
  <si>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</si>
  <si>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</si>
  <si>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</si>
  <si>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</si>
  <si>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</si>
  <si>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</si>
  <si>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</si>
  <si>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</si>
  <si>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</si>
  <si>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</si>
  <si>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</si>
  <si>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</si>
  <si>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</si>
  <si>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</si>
  <si>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</si>
  <si>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</si>
  <si>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</si>
  <si>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</si>
  <si>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</si>
  <si>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</si>
  <si>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</si>
  <si>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</si>
  <si>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</si>
  <si>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</si>
  <si>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</si>
  <si>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</si>
  <si>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</si>
  <si>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</si>
  <si>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</si>
  <si>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</si>
  <si>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</si>
  <si>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</si>
  <si>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</si>
  <si>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</si>
  <si>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</si>
  <si>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</si>
  <si>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</si>
  <si>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</si>
  <si>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</si>
  <si>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</si>
  <si>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</si>
  <si>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</si>
  <si>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</si>
  <si>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</si>
  <si>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</si>
  <si>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</si>
  <si>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</si>
  <si>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</si>
  <si>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</si>
  <si>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</si>
  <si>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</si>
  <si>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</si>
  <si>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</si>
  <si>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</si>
  <si>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</si>
  <si>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</si>
  <si>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</si>
  <si>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</si>
  <si>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</si>
  <si>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</si>
  <si>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</si>
  <si>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</si>
  <si>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</si>
  <si>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</si>
  <si>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</si>
  <si>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</si>
  <si>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</si>
  <si>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</si>
  <si>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</si>
  <si>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</si>
  <si>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</si>
  <si>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</si>
  <si>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</si>
  <si>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</si>
  <si>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</si>
  <si>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</si>
  <si>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</si>
  <si>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</si>
  <si>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</si>
  <si>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</si>
  <si>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</si>
  <si>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</si>
  <si>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</si>
  <si>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</si>
  <si>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</si>
  <si>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</si>
  <si>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</si>
  <si>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</si>
  <si>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</si>
  <si>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</si>
  <si>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</si>
  <si>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</si>
  <si>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</si>
  <si>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</si>
  <si>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</si>
  <si>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</si>
  <si>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</si>
  <si>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</si>
  <si>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</si>
  <si>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</si>
  <si>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</si>
  <si>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</si>
  <si>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</si>
  <si>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</si>
  <si>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</si>
  <si>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</si>
  <si>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</si>
  <si>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</si>
  <si>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</si>
  <si>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</si>
  <si>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</si>
  <si>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</si>
  <si>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</si>
  <si>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</si>
  <si>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</si>
  <si>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</si>
  <si>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</si>
  <si>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</si>
  <si>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</si>
  <si>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</si>
  <si>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</si>
  <si>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</si>
  <si>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</si>
  <si>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</si>
  <si>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</si>
  <si>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</si>
  <si>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</si>
  <si>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</si>
  <si>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</si>
  <si>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</si>
  <si>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</si>
  <si>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</si>
  <si>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</si>
  <si>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</si>
  <si>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</si>
  <si>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</si>
  <si>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</si>
  <si>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</si>
  <si>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</si>
  <si>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</si>
  <si>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</si>
  <si>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</si>
  <si>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</si>
  <si>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</si>
  <si>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</si>
  <si>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</si>
  <si>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</si>
  <si>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</si>
  <si>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</si>
  <si>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</si>
  <si>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</si>
  <si>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</si>
  <si>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</si>
  <si>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</si>
  <si>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</si>
  <si>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</si>
  <si>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</si>
  <si>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</si>
  <si>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</si>
  <si>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</si>
  <si>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</si>
  <si>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</si>
  <si>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</si>
  <si>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</si>
  <si>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</si>
  <si>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</si>
  <si>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</si>
  <si>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</si>
  <si>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</si>
  <si>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</si>
  <si>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</si>
  <si>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</si>
  <si>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</si>
  <si>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</si>
  <si>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</si>
  <si>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</si>
  <si>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</si>
  <si>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</si>
  <si>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</si>
  <si>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</si>
  <si>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</si>
  <si>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</si>
  <si>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</si>
  <si>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</si>
  <si>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</si>
  <si>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</si>
  <si>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</si>
  <si>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</si>
  <si>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</si>
  <si>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</si>
  <si>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</si>
  <si>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</si>
  <si>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</si>
  <si>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</si>
  <si>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</si>
  <si>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</si>
  <si>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</si>
  <si>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</si>
  <si>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</si>
  <si>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</si>
  <si>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</si>
  <si>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</si>
  <si>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</si>
  <si>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</si>
  <si>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</si>
  <si>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</si>
  <si>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</si>
  <si>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</si>
  <si>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</si>
  <si>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</si>
  <si>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</si>
  <si>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</si>
  <si>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</si>
  <si>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</si>
  <si>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</si>
  <si>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</si>
  <si>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</si>
  <si>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</si>
  <si>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</si>
  <si>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</si>
  <si>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</si>
  <si>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</si>
  <si>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</si>
  <si>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</si>
  <si>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</si>
  <si>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</si>
  <si>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</si>
  <si>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</si>
  <si>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</si>
  <si>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</si>
  <si>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</si>
  <si>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</si>
  <si>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</si>
  <si>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</si>
  <si>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</si>
  <si>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</si>
  <si>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</si>
  <si>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</si>
  <si>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</si>
  <si>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</si>
  <si>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</si>
  <si>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</si>
  <si>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</si>
  <si>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</si>
  <si>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</si>
  <si>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</si>
  <si>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</si>
  <si>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</si>
  <si>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</si>
  <si>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</si>
  <si>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</si>
  <si>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</si>
  <si>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</si>
  <si>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</si>
  <si>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</si>
  <si>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</si>
  <si>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</si>
  <si>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</si>
  <si>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</si>
  <si>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</si>
  <si>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</si>
  <si>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</si>
  <si>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</si>
  <si>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</si>
  <si>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</si>
  <si>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</si>
  <si>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</si>
  <si>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</si>
  <si>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</si>
  <si>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</si>
  <si>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</si>
  <si>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</si>
  <si>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</si>
  <si>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</si>
  <si>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</si>
  <si>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</si>
  <si>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</si>
  <si>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</si>
  <si>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</si>
  <si>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</si>
  <si>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</si>
  <si>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</si>
  <si>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</si>
  <si>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</si>
  <si>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</si>
  <si>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</si>
  <si>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</si>
  <si>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</si>
  <si>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</si>
  <si>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</si>
  <si>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</si>
  <si>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</si>
  <si>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</si>
  <si>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</si>
  <si>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</si>
  <si>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</si>
  <si>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</si>
  <si>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</si>
  <si>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</si>
  <si>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</si>
  <si>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</si>
  <si>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</si>
  <si>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</si>
  <si>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</si>
  <si>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</si>
  <si>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</si>
  <si>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</si>
  <si>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</si>
  <si>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</si>
  <si>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</si>
  <si>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</si>
  <si>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</si>
  <si>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</si>
  <si>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</si>
  <si>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</si>
  <si>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</si>
  <si>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</si>
  <si>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</si>
  <si>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</si>
  <si>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</si>
  <si>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</si>
  <si>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</si>
  <si>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</si>
  <si>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</si>
  <si>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</si>
  <si>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</si>
  <si>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</si>
  <si>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</si>
  <si>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</si>
  <si>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</si>
  <si>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</si>
  <si>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</si>
  <si>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</si>
  <si>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</si>
  <si>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</si>
  <si>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</si>
  <si>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</si>
  <si>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</si>
  <si>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</si>
  <si>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</si>
  <si>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</si>
  <si>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</si>
  <si>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</si>
  <si>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</si>
  <si>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</si>
  <si>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</si>
  <si>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</si>
  <si>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</si>
  <si>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</si>
  <si>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</si>
  <si>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</si>
  <si>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</si>
  <si>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</si>
  <si>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</si>
  <si>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</si>
  <si>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</si>
  <si>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</si>
  <si>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</si>
  <si>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</si>
  <si>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</si>
  <si>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</si>
  <si>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</si>
  <si>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</si>
  <si>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</si>
  <si>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</si>
  <si>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</si>
  <si>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</si>
  <si>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</si>
  <si>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</si>
  <si>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</si>
  <si>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</si>
  <si>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</si>
  <si>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</si>
  <si>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</si>
  <si>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</si>
  <si>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</si>
  <si>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</si>
  <si>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</si>
  <si>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</si>
  <si>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</si>
  <si>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</si>
  <si>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</si>
  <si>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</si>
  <si>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</si>
  <si>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</si>
  <si>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</si>
  <si>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</si>
  <si>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</si>
  <si>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</si>
  <si>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</si>
  <si>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</si>
  <si>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</si>
  <si>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</si>
  <si>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</si>
  <si>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</si>
  <si>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</si>
  <si>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</si>
  <si>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</si>
  <si>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</si>
  <si>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</si>
  <si>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</si>
  <si>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</si>
  <si>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</si>
  <si>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</si>
  <si>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</si>
  <si>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</si>
  <si>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</si>
  <si>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</si>
  <si>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</si>
  <si>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</si>
  <si>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</si>
  <si>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</si>
  <si>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</si>
  <si>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</si>
  <si>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</si>
  <si>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</si>
  <si>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</si>
  <si>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</si>
  <si>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</si>
  <si>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</si>
  <si>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</si>
  <si>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</si>
  <si>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</si>
  <si>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</si>
  <si>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</si>
  <si>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</si>
  <si>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</si>
  <si>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</si>
  <si>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</si>
  <si>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</si>
  <si>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</si>
  <si>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</si>
  <si>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</si>
  <si>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</si>
  <si>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</si>
  <si>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</si>
  <si>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</si>
  <si>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</si>
  <si>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</si>
  <si>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</si>
  <si>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</si>
  <si>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</si>
  <si>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</si>
  <si>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</si>
  <si>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</si>
  <si>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</si>
  <si>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</si>
  <si>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</si>
  <si>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</si>
  <si>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</si>
  <si>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</si>
  <si>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</si>
  <si>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</si>
  <si>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</si>
  <si>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</si>
  <si>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</si>
  <si>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</si>
  <si>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</si>
  <si>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</si>
  <si>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</si>
  <si>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</si>
  <si>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</si>
  <si>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</si>
  <si>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</si>
  <si>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</si>
  <si>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</si>
  <si>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</si>
  <si>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</si>
  <si>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</si>
  <si>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</si>
  <si>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</si>
  <si>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</si>
  <si>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</si>
  <si>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</si>
  <si>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</si>
  <si>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</si>
  <si>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</si>
  <si>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</si>
  <si>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</si>
  <si>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</si>
  <si>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</si>
  <si>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</si>
  <si>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EL PRAT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</si>
</sst>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cowff0AiHd1EhMbVQOir0bGaanrCrRRTugIMrPlo8EHJkeYRxdY9n/SuHwi+R4d4vo7Gol6QNgoIwmZJdOSUg==" saltValue="e0MhxHczj8VLYSVmU4T8x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57</v>
      </c>
      <c r="D10" s="225">
        <f>IF(ISNUMBER(Datos!I10),Datos!I10," - ")</f>
        <v>57</v>
      </c>
      <c r="E10" s="226">
        <f>IF(ISNUMBER(Datos!J10),Datos!J10," - ")</f>
        <v>12</v>
      </c>
      <c r="F10" s="226">
        <f>IF(ISNUMBER(Datos!K10),Datos!K10," - ")</f>
        <v>13</v>
      </c>
      <c r="G10" s="1034" t="str">
        <f>IF(Datos!E10&lt;&gt;"",Datos!E10,Datos!D10)</f>
        <v>37</v>
      </c>
      <c r="H10" s="227">
        <f>IF(ISNUMBER(Datos!L10),Datos!L10," - ")</f>
        <v>56</v>
      </c>
      <c r="I10" s="1044" t="str">
        <f>IF(ISNUMBER(Datos!AS10/Datos!BM10),Datos!AS10/Datos!BM10," - ")</f>
        <v xml:space="preserve"> - </v>
      </c>
      <c r="J10" s="1045">
        <f>IF(ISNUMBER(Datos!BY10/Datos!CN10),Datos!BY10/Datos!CN10," - ")</f>
        <v>0</v>
      </c>
      <c r="K10" s="230">
        <f t="shared" ref="K10:K12" si="1">IF(ISNUMBER((E10-F10)/C10),(E10-F10)/C10," - ")</f>
        <v>-1.7543859649122806E-2</v>
      </c>
      <c r="L10" s="1025">
        <f>IF(ISNUMBER(NºAsuntos!I10/NºAsuntos!G10),(NºAsuntos!I10/NºAsuntos!G10)*11," - ")</f>
        <v>47.38461538461538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51.301364670204705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57</v>
      </c>
      <c r="D13" s="1049">
        <f>SUBTOTAL(9,D9:D12)</f>
        <v>57</v>
      </c>
      <c r="E13" s="1050">
        <f>SUBTOTAL(9,E9:E12)</f>
        <v>12</v>
      </c>
      <c r="F13" s="1051">
        <f>SUBTOTAL(9,F9:F12)</f>
        <v>13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3770</v>
      </c>
      <c r="D16" s="225">
        <f>IF(ISNUMBER(IF(D_I="SI",Datos!I16,Datos!I16+Datos!AC16)),IF(D_I="SI",Datos!I16,Datos!I16+Datos!AC16)," - ")</f>
        <v>4060</v>
      </c>
      <c r="E16" s="226">
        <f>IF(ISNUMBER(IF(D_I="SI",Datos!J16,Datos!J16+Datos!AD16)),IF(D_I="SI",Datos!J16,Datos!J16+Datos!AD16)," - ")</f>
        <v>3178</v>
      </c>
      <c r="F16" s="226">
        <f>IF(ISNUMBER(IF(D_I="SI",Datos!K16,Datos!K16+Datos!AE16)),IF(D_I="SI",Datos!K16,Datos!K16+Datos!AE16)," - ")</f>
        <v>2877</v>
      </c>
      <c r="G16" s="1034" t="str">
        <f>IF(Datos!E16&lt;&gt;"",Datos!E16,Datos!D16)</f>
        <v>04</v>
      </c>
      <c r="H16" s="227">
        <f>IF(ISNUMBER(IF(D_I="SI",Datos!L16,Datos!L16+Datos!AF16)),IF(D_I="SI",Datos!L16,Datos!L16+Datos!AF16)," - ")</f>
        <v>4071</v>
      </c>
      <c r="I16" s="1044" t="str">
        <f>IF(ISNUMBER(Datos!AS16/Datos!BM16),Datos!AS16/Datos!BM16," - ")</f>
        <v xml:space="preserve"> - </v>
      </c>
      <c r="J16" s="1045">
        <f>IF(ISNUMBER(Datos!BY16/Datos!CN16),Datos!BY16/Datos!CN16," - ")</f>
        <v>0</v>
      </c>
      <c r="K16" s="230">
        <f t="shared" si="3"/>
        <v>7.9840848806366049E-2</v>
      </c>
      <c r="L16" s="1025">
        <f>IF(ISNUMBER(NºAsuntos!I16/NºAsuntos!G16),(NºAsuntos!I16/NºAsuntos!G16)*11," - ")</f>
        <v>15.565172054223149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80</v>
      </c>
      <c r="D17" s="225">
        <f>IF(ISNUMBER(IF(D_I="SI",Datos!I17,Datos!I17+Datos!AC17)),IF(D_I="SI",Datos!I17,Datos!I17+Datos!AC17)," - ")</f>
        <v>108</v>
      </c>
      <c r="E17" s="226">
        <f>IF(ISNUMBER(IF(D_I="SI",Datos!J17,Datos!J17+Datos!AD17)),IF(D_I="SI",Datos!J17,Datos!J17+Datos!AD17)," - ")</f>
        <v>86</v>
      </c>
      <c r="F17" s="226">
        <f>IF(ISNUMBER(IF(D_I="SI",Datos!K17,Datos!K17+Datos!AE17)),IF(D_I="SI",Datos!K17,Datos!K17+Datos!AE17)," - ")</f>
        <v>97</v>
      </c>
      <c r="G17" s="1034" t="str">
        <f>IF(Datos!E17&lt;&gt;"",Datos!E17,Datos!D17)</f>
        <v>37</v>
      </c>
      <c r="H17" s="227">
        <f>IF(ISNUMBER(IF(D_I="SI",Datos!L17,Datos!L17+Datos!AF17)),IF(D_I="SI",Datos!L17,Datos!L17+Datos!AF17)," - ")</f>
        <v>69</v>
      </c>
      <c r="I17" s="1044" t="str">
        <f>IF(ISNUMBER(Datos!AS17/Datos!BM17),Datos!AS17/Datos!BM17," - ")</f>
        <v xml:space="preserve"> - </v>
      </c>
      <c r="J17" s="1045" t="str">
        <f>IF(ISNUMBER((Datos!BY17+Datos!BZ17)/Datos!CN17),(Datos!BY17+Datos!BZ17)/Datos!CN17," - ")</f>
        <v xml:space="preserve"> - </v>
      </c>
      <c r="K17" s="230">
        <f t="shared" si="3"/>
        <v>-0.13750000000000001</v>
      </c>
      <c r="L17" s="1025">
        <f>IF(ISNUMBER(NºAsuntos!I17/NºAsuntos!G17),(NºAsuntos!I17/NºAsuntos!G17)*11," - ")</f>
        <v>7.8247422680412377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3850</v>
      </c>
      <c r="D18" s="1049">
        <f>SUBTOTAL(9,D15:D17)</f>
        <v>4168</v>
      </c>
      <c r="E18" s="1050">
        <f>SUBTOTAL(9,E15:E17)</f>
        <v>3264</v>
      </c>
      <c r="F18" s="1050">
        <f>SUBTOTAL(9,F15:F17)</f>
        <v>2974</v>
      </c>
      <c r="G18" s="1052" t="str">
        <f ca="1">INDIRECT(CONCATENATE("G",ROW()-1))</f>
        <v>37</v>
      </c>
      <c r="H18" s="1053">
        <f ca="1">SUMIF(G$14:G17,G18,H$14:H17)</f>
        <v>69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3907</v>
      </c>
      <c r="D19" s="1071">
        <f>SUBTOTAL(9,D9:D18)</f>
        <v>4225</v>
      </c>
      <c r="E19" s="1072">
        <f>SUBTOTAL(9,E9:E18)</f>
        <v>3276</v>
      </c>
      <c r="F19" s="1072">
        <f>SUBTOTAL(9,F9:F18)</f>
        <v>2987</v>
      </c>
      <c r="G19" s="1073"/>
      <c r="H19" s="1074">
        <f ca="1">SUMIF(B9:B18,"TOTAL",H9:H18)</f>
        <v>69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D/HkIKkt5a50MUQAmYqgQ2DmJG//mLJtjqIwGCyVzen+FlqeJv+3QxswGAjkHK9GOGSg1EUlzKAavIWGzmU7FA==" saltValue="JQRQMpKkBVkUAaoVuWSco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YCysYRwI89oxFLp1sVX9fe4236NBiX6FWINnxG1CeaSFKlyyHNwKOiKYw6AHv3rbZt1o+BSr2J9cEmC3KEhYA==" saltValue="zyvhqMObMtvfFXt5HXSHE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57</v>
      </c>
      <c r="J10" s="181">
        <v>12</v>
      </c>
      <c r="K10" s="181">
        <v>13</v>
      </c>
      <c r="L10" s="181">
        <v>56</v>
      </c>
      <c r="M10" s="181">
        <v>2</v>
      </c>
      <c r="N10" s="181">
        <v>3</v>
      </c>
      <c r="O10" s="181">
        <v>0</v>
      </c>
      <c r="P10" s="181">
        <v>0</v>
      </c>
      <c r="Q10" s="181">
        <v>0</v>
      </c>
      <c r="R10" s="181">
        <v>22</v>
      </c>
      <c r="S10" s="181">
        <v>55</v>
      </c>
      <c r="T10" s="181">
        <v>10</v>
      </c>
      <c r="U10" s="181">
        <v>7</v>
      </c>
      <c r="V10" s="181">
        <v>58</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55</v>
      </c>
      <c r="AZ10" s="129">
        <f t="shared" si="0"/>
        <v>10</v>
      </c>
      <c r="BA10" s="129">
        <f t="shared" si="0"/>
        <v>7</v>
      </c>
      <c r="BB10" s="129">
        <f t="shared" si="0"/>
        <v>58</v>
      </c>
      <c r="BC10" s="125">
        <f t="shared" si="0"/>
        <v>2</v>
      </c>
      <c r="BD10" s="126">
        <f>IF(ISNUMBER(BA10/AZ10),BA10/AZ10," - ")</f>
        <v>0.7</v>
      </c>
      <c r="BE10" s="127">
        <f>IF(ISNUMBER(BB10/BA10),BB10/BA10, " - ")</f>
        <v>8.2857142857142865</v>
      </c>
      <c r="BF10" s="127">
        <f>IF(ISNUMBER(BC10/BA10),BC10/BA10, " - ")</f>
        <v>0.2857142857142857</v>
      </c>
      <c r="BG10" s="196">
        <f>IF(ISNUMBER((AY10+AZ10)/BA10),(AY10+AZ10)/BA10," - ")</f>
        <v>9.2857142857142865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12523</v>
      </c>
      <c r="J12" s="183">
        <v>2972</v>
      </c>
      <c r="K12" s="183">
        <v>2581</v>
      </c>
      <c r="L12" s="183">
        <v>12236</v>
      </c>
      <c r="M12" s="183">
        <v>1003</v>
      </c>
      <c r="N12" s="183">
        <v>697</v>
      </c>
      <c r="O12" s="181">
        <v>861</v>
      </c>
      <c r="P12" s="183">
        <v>317</v>
      </c>
      <c r="Q12" s="183">
        <v>123</v>
      </c>
      <c r="R12" s="183">
        <v>3069</v>
      </c>
      <c r="S12" s="183">
        <v>12712</v>
      </c>
      <c r="T12" s="183">
        <v>2613</v>
      </c>
      <c r="U12" s="183">
        <v>2513</v>
      </c>
      <c r="V12" s="183">
        <v>12879</v>
      </c>
      <c r="W12" s="183">
        <v>1047</v>
      </c>
      <c r="X12" s="189">
        <v>497</v>
      </c>
      <c r="Y12" s="191">
        <v>79</v>
      </c>
      <c r="Z12" s="181">
        <v>45</v>
      </c>
      <c r="AA12" s="181">
        <v>57</v>
      </c>
      <c r="AB12" s="181">
        <v>67</v>
      </c>
      <c r="AC12" s="183">
        <v>0</v>
      </c>
      <c r="AD12" s="183">
        <v>0</v>
      </c>
      <c r="AE12" s="183">
        <v>0</v>
      </c>
      <c r="AF12" s="189">
        <v>0</v>
      </c>
      <c r="AG12" s="202">
        <v>87</v>
      </c>
      <c r="AH12" s="183">
        <v>45</v>
      </c>
      <c r="AI12" s="183">
        <v>45</v>
      </c>
      <c r="AJ12" s="203">
        <v>87</v>
      </c>
      <c r="AK12" s="182">
        <v>0</v>
      </c>
      <c r="AL12" s="183">
        <v>0</v>
      </c>
      <c r="AM12" s="183">
        <v>0</v>
      </c>
      <c r="AN12" s="189">
        <v>0</v>
      </c>
      <c r="AO12" s="259">
        <v>5</v>
      </c>
      <c r="AP12" s="155">
        <v>5</v>
      </c>
      <c r="AQ12" s="155">
        <v>5</v>
      </c>
      <c r="AR12" s="154">
        <v>5</v>
      </c>
      <c r="AS12" s="340" t="s">
        <v>801</v>
      </c>
      <c r="AT12" s="203"/>
      <c r="AU12" s="202"/>
      <c r="AV12" s="203"/>
      <c r="AW12" s="202"/>
      <c r="AX12" s="203"/>
      <c r="AY12" s="126">
        <f t="shared" si="1"/>
        <v>12799</v>
      </c>
      <c r="AZ12" s="127">
        <f t="shared" si="1"/>
        <v>2658</v>
      </c>
      <c r="BA12" s="127">
        <f t="shared" si="1"/>
        <v>2558</v>
      </c>
      <c r="BB12" s="127">
        <f t="shared" si="1"/>
        <v>12966</v>
      </c>
      <c r="BC12" s="125">
        <f>IF(ISNUMBER(X12),X12," - ")</f>
        <v>497</v>
      </c>
      <c r="BD12" s="126">
        <f t="shared" si="2"/>
        <v>0.96237772761474794</v>
      </c>
      <c r="BE12" s="127">
        <f t="shared" si="3"/>
        <v>5.068803752931978</v>
      </c>
      <c r="BF12" s="127">
        <f t="shared" si="4"/>
        <v>0.19429241594996091</v>
      </c>
      <c r="BG12" s="196">
        <f t="shared" si="5"/>
        <v>6.0426114151680999</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12580</v>
      </c>
      <c r="J13" s="184">
        <f t="shared" si="6"/>
        <v>2984</v>
      </c>
      <c r="K13" s="184">
        <f t="shared" si="6"/>
        <v>2594</v>
      </c>
      <c r="L13" s="184">
        <f t="shared" si="6"/>
        <v>12292</v>
      </c>
      <c r="M13" s="184">
        <f t="shared" si="6"/>
        <v>1005</v>
      </c>
      <c r="N13" s="184">
        <f t="shared" si="6"/>
        <v>700</v>
      </c>
      <c r="O13" s="184">
        <f t="shared" si="6"/>
        <v>861</v>
      </c>
      <c r="P13" s="184">
        <f t="shared" si="6"/>
        <v>317</v>
      </c>
      <c r="Q13" s="184">
        <f t="shared" si="6"/>
        <v>123</v>
      </c>
      <c r="R13" s="184">
        <f t="shared" si="6"/>
        <v>3091</v>
      </c>
      <c r="S13" s="184">
        <f t="shared" si="6"/>
        <v>12767</v>
      </c>
      <c r="T13" s="184">
        <f t="shared" si="6"/>
        <v>2623</v>
      </c>
      <c r="U13" s="184">
        <f t="shared" si="6"/>
        <v>2520</v>
      </c>
      <c r="V13" s="184">
        <f t="shared" si="6"/>
        <v>12937</v>
      </c>
      <c r="W13" s="184">
        <f t="shared" si="6"/>
        <v>1049</v>
      </c>
      <c r="X13" s="184">
        <f t="shared" si="6"/>
        <v>499</v>
      </c>
      <c r="Y13" s="184">
        <f t="shared" si="6"/>
        <v>79</v>
      </c>
      <c r="Z13" s="184">
        <f t="shared" si="6"/>
        <v>45</v>
      </c>
      <c r="AA13" s="184">
        <f t="shared" si="6"/>
        <v>57</v>
      </c>
      <c r="AB13" s="184">
        <f t="shared" si="6"/>
        <v>67</v>
      </c>
      <c r="AC13" s="184">
        <f t="shared" si="6"/>
        <v>0</v>
      </c>
      <c r="AD13" s="184">
        <f t="shared" si="6"/>
        <v>0</v>
      </c>
      <c r="AE13" s="184">
        <f t="shared" si="6"/>
        <v>0</v>
      </c>
      <c r="AF13" s="184">
        <f>SUBTOTAL(9,AF9:AF12)</f>
        <v>0</v>
      </c>
      <c r="AG13" s="184">
        <f t="shared" ref="AG13:AT13" si="7">SUBTOTAL(9,AG8:AG12)</f>
        <v>87</v>
      </c>
      <c r="AH13" s="184">
        <f t="shared" si="7"/>
        <v>45</v>
      </c>
      <c r="AI13" s="184">
        <f t="shared" si="7"/>
        <v>45</v>
      </c>
      <c r="AJ13" s="184">
        <f t="shared" si="7"/>
        <v>87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12854</v>
      </c>
      <c r="AZ13" s="184">
        <f>SUBTOTAL(9,AZ8:AZ12)</f>
        <v>2668</v>
      </c>
      <c r="BA13" s="184">
        <f>SUBTOTAL(9,BA8:BA12)</f>
        <v>2565</v>
      </c>
      <c r="BB13" s="184">
        <f>SUBTOTAL(9,BB8:BB12)</f>
        <v>13024</v>
      </c>
      <c r="BC13" s="184">
        <f>SUBTOTAL(9,BC8:BC12)</f>
        <v>499</v>
      </c>
      <c r="BD13" s="205">
        <f>IF(ISNUMBER(BA13/AZ13),BA13/AZ13," - ")</f>
        <v>0.96139430284857574</v>
      </c>
      <c r="BE13" s="206">
        <f>IF(ISNUMBER(BB13/BA13),BB13/BA13, " - ")</f>
        <v>5.0775828460038985</v>
      </c>
      <c r="BF13" s="206">
        <f>IF(ISNUMBER(BC13/BA13),BC13/BA13, " - ")</f>
        <v>0.19454191033138402</v>
      </c>
      <c r="BG13" s="207">
        <f>IF(ISNUMBER((AY13+AZ13)/BA13),(AY13+AZ13)/BA13," - ")</f>
        <v>6.0514619883040934</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4060</v>
      </c>
      <c r="J16" s="183">
        <v>3178</v>
      </c>
      <c r="K16" s="183">
        <v>2877</v>
      </c>
      <c r="L16" s="183">
        <v>4071</v>
      </c>
      <c r="M16" s="183">
        <v>255</v>
      </c>
      <c r="N16" s="183">
        <v>1585</v>
      </c>
      <c r="O16" s="181">
        <v>0</v>
      </c>
      <c r="P16" s="183">
        <v>105</v>
      </c>
      <c r="Q16" s="183">
        <v>49</v>
      </c>
      <c r="R16" s="183">
        <v>238</v>
      </c>
      <c r="S16" s="183">
        <v>3021</v>
      </c>
      <c r="T16" s="183">
        <v>2326</v>
      </c>
      <c r="U16" s="183">
        <v>2025</v>
      </c>
      <c r="V16" s="183">
        <v>3328</v>
      </c>
      <c r="W16" s="183">
        <v>195</v>
      </c>
      <c r="X16" s="189">
        <v>1228</v>
      </c>
      <c r="Y16" s="202">
        <v>0</v>
      </c>
      <c r="Z16" s="183">
        <v>0</v>
      </c>
      <c r="AA16" s="183">
        <v>0</v>
      </c>
      <c r="AB16" s="183">
        <v>0</v>
      </c>
      <c r="AC16" s="183">
        <v>19</v>
      </c>
      <c r="AD16" s="183">
        <v>31</v>
      </c>
      <c r="AE16" s="183">
        <v>16</v>
      </c>
      <c r="AF16" s="189">
        <v>34</v>
      </c>
      <c r="AG16" s="202">
        <v>0</v>
      </c>
      <c r="AH16" s="183">
        <v>0</v>
      </c>
      <c r="AI16" s="183">
        <v>0</v>
      </c>
      <c r="AJ16" s="203">
        <v>0</v>
      </c>
      <c r="AK16" s="182">
        <v>7</v>
      </c>
      <c r="AL16" s="183">
        <v>30</v>
      </c>
      <c r="AM16" s="183">
        <v>34</v>
      </c>
      <c r="AN16" s="189">
        <v>3</v>
      </c>
      <c r="AO16" s="259">
        <v>5</v>
      </c>
      <c r="AP16" s="155">
        <v>5</v>
      </c>
      <c r="AQ16" s="155">
        <v>5</v>
      </c>
      <c r="AR16" s="155">
        <v>5</v>
      </c>
      <c r="AS16" s="340" t="s">
        <v>487</v>
      </c>
      <c r="AT16" s="203"/>
      <c r="AU16" s="202"/>
      <c r="AV16" s="203"/>
      <c r="AW16" s="202"/>
      <c r="AX16" s="203"/>
      <c r="AY16" s="126">
        <f t="shared" si="9"/>
        <v>3021</v>
      </c>
      <c r="AZ16" s="127">
        <f t="shared" si="9"/>
        <v>2326</v>
      </c>
      <c r="BA16" s="127">
        <f t="shared" si="9"/>
        <v>2025</v>
      </c>
      <c r="BB16" s="127">
        <f t="shared" si="9"/>
        <v>3328</v>
      </c>
      <c r="BC16" s="125">
        <f>IF(ISNUMBER(W16),W16," - ")</f>
        <v>195</v>
      </c>
      <c r="BD16" s="126">
        <f t="shared" ref="BD16" si="11">IF(ISNUMBER(BA16/AZ16),BA16/AZ16," - ")</f>
        <v>0.87059329320722267</v>
      </c>
      <c r="BE16" s="127">
        <f t="shared" ref="BE16" si="12">IF(ISNUMBER(BB16/BA16),BB16/BA16, " - ")</f>
        <v>1.6434567901234567</v>
      </c>
      <c r="BF16" s="127">
        <f t="shared" ref="BF16" si="13">IF(ISNUMBER(BC16/BA16),BC16/BA16, " - ")</f>
        <v>9.6296296296296297E-2</v>
      </c>
      <c r="BG16" s="196">
        <f t="shared" si="10"/>
        <v>2.6404938271604936</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108</v>
      </c>
      <c r="J17" s="183">
        <v>86</v>
      </c>
      <c r="K17" s="183">
        <v>97</v>
      </c>
      <c r="L17" s="183">
        <v>69</v>
      </c>
      <c r="M17" s="183">
        <v>4</v>
      </c>
      <c r="N17" s="183">
        <v>18</v>
      </c>
      <c r="O17" s="183">
        <v>0</v>
      </c>
      <c r="P17" s="183">
        <v>0</v>
      </c>
      <c r="Q17" s="183">
        <v>1</v>
      </c>
      <c r="R17" s="183">
        <v>0</v>
      </c>
      <c r="S17" s="183">
        <v>106</v>
      </c>
      <c r="T17" s="183">
        <v>77</v>
      </c>
      <c r="U17" s="183">
        <v>71</v>
      </c>
      <c r="V17" s="183">
        <v>112</v>
      </c>
      <c r="W17" s="183">
        <v>3</v>
      </c>
      <c r="X17" s="189">
        <v>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106</v>
      </c>
      <c r="AZ17" s="129">
        <f t="shared" si="14"/>
        <v>77</v>
      </c>
      <c r="BA17" s="129">
        <f t="shared" si="14"/>
        <v>71</v>
      </c>
      <c r="BB17" s="129">
        <f t="shared" si="14"/>
        <v>112</v>
      </c>
      <c r="BC17" s="125">
        <f>IF(ISNUMBER(W17),W17," - ")</f>
        <v>3</v>
      </c>
      <c r="BD17" s="126">
        <f>IF(ISNUMBER(BA17/AZ17),BA17/AZ17," - ")</f>
        <v>0.92207792207792205</v>
      </c>
      <c r="BE17" s="127">
        <f>IF(ISNUMBER(BB17/BA17),BB17/BA17, " - ")</f>
        <v>1.5774647887323943</v>
      </c>
      <c r="BF17" s="127">
        <f>IF(ISNUMBER(BC17/BA17),BC17/BA17, " - ")</f>
        <v>4.2253521126760563E-2</v>
      </c>
      <c r="BG17" s="196">
        <f>IF(ISNUMBER((AY17+AZ17)/BA17),(AY17+AZ17)/BA17," - ")</f>
        <v>2.5774647887323945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4168</v>
      </c>
      <c r="J18" s="184">
        <f t="shared" si="15"/>
        <v>3264</v>
      </c>
      <c r="K18" s="184">
        <f t="shared" si="15"/>
        <v>2974</v>
      </c>
      <c r="L18" s="184">
        <f t="shared" si="15"/>
        <v>4140</v>
      </c>
      <c r="M18" s="184">
        <f t="shared" si="15"/>
        <v>259</v>
      </c>
      <c r="N18" s="184">
        <f t="shared" si="15"/>
        <v>1603</v>
      </c>
      <c r="O18" s="184">
        <f t="shared" si="15"/>
        <v>0</v>
      </c>
      <c r="P18" s="184">
        <f t="shared" si="15"/>
        <v>105</v>
      </c>
      <c r="Q18" s="184">
        <f t="shared" si="15"/>
        <v>50</v>
      </c>
      <c r="R18" s="184">
        <f t="shared" si="15"/>
        <v>238</v>
      </c>
      <c r="S18" s="184">
        <f t="shared" si="15"/>
        <v>3127</v>
      </c>
      <c r="T18" s="184">
        <f t="shared" si="15"/>
        <v>2403</v>
      </c>
      <c r="U18" s="184">
        <f t="shared" si="15"/>
        <v>2096</v>
      </c>
      <c r="V18" s="184">
        <f t="shared" si="15"/>
        <v>3440</v>
      </c>
      <c r="W18" s="184">
        <f t="shared" si="15"/>
        <v>198</v>
      </c>
      <c r="X18" s="184">
        <f t="shared" si="15"/>
        <v>1255</v>
      </c>
      <c r="Y18" s="184">
        <f t="shared" si="15"/>
        <v>0</v>
      </c>
      <c r="Z18" s="184">
        <f t="shared" si="15"/>
        <v>0</v>
      </c>
      <c r="AA18" s="184">
        <f t="shared" si="15"/>
        <v>0</v>
      </c>
      <c r="AB18" s="184">
        <f t="shared" si="15"/>
        <v>0</v>
      </c>
      <c r="AC18" s="184">
        <f t="shared" si="15"/>
        <v>19</v>
      </c>
      <c r="AD18" s="184">
        <f t="shared" si="15"/>
        <v>31</v>
      </c>
      <c r="AE18" s="184">
        <f t="shared" si="15"/>
        <v>16</v>
      </c>
      <c r="AF18" s="184">
        <f t="shared" si="15"/>
        <v>34</v>
      </c>
      <c r="AG18" s="184">
        <f t="shared" si="15"/>
        <v>0</v>
      </c>
      <c r="AH18" s="184">
        <f t="shared" si="15"/>
        <v>0</v>
      </c>
      <c r="AI18" s="184">
        <f t="shared" si="15"/>
        <v>0</v>
      </c>
      <c r="AJ18" s="184">
        <f t="shared" si="15"/>
        <v>0</v>
      </c>
      <c r="AK18" s="184">
        <f t="shared" si="15"/>
        <v>7</v>
      </c>
      <c r="AL18" s="184">
        <f t="shared" si="15"/>
        <v>30</v>
      </c>
      <c r="AM18" s="184">
        <f t="shared" si="15"/>
        <v>34</v>
      </c>
      <c r="AN18" s="184">
        <f t="shared" si="15"/>
        <v>3</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3127</v>
      </c>
      <c r="AZ18" s="184">
        <f>SUBTOTAL(9,AZ14:AZ17)</f>
        <v>2403</v>
      </c>
      <c r="BA18" s="184">
        <f>SUBTOTAL(9,BA14:BA17)</f>
        <v>2096</v>
      </c>
      <c r="BB18" s="184">
        <f>SUBTOTAL(9,BB14:BB17)</f>
        <v>3440</v>
      </c>
      <c r="BC18" s="184">
        <f>SUBTOTAL(9,BC14:BC17)</f>
        <v>198</v>
      </c>
      <c r="BD18" s="205">
        <f>IF(ISNUMBER(BA18/AZ18),BA18/AZ18," - ")</f>
        <v>0.87224302954640032</v>
      </c>
      <c r="BE18" s="206">
        <f>IF(ISNUMBER(BB18/BA18),BB18/BA18, " - ")</f>
        <v>1.6412213740458015</v>
      </c>
      <c r="BF18" s="206">
        <f>IF(ISNUMBER(BC18/BA18),BC18/BA18, " - ")</f>
        <v>9.4465648854961837E-2</v>
      </c>
      <c r="BG18" s="207">
        <f>IF(ISNUMBER((AY18+AZ18)/BA18),(AY18+AZ18)/BA18," - ")</f>
        <v>2.6383587786259541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16748</v>
      </c>
      <c r="J19" s="134">
        <f t="shared" si="18"/>
        <v>6248</v>
      </c>
      <c r="K19" s="134">
        <f t="shared" si="18"/>
        <v>5568</v>
      </c>
      <c r="L19" s="134">
        <f t="shared" si="18"/>
        <v>16432</v>
      </c>
      <c r="M19" s="134">
        <f t="shared" si="18"/>
        <v>1264</v>
      </c>
      <c r="N19" s="134">
        <f t="shared" si="18"/>
        <v>2303</v>
      </c>
      <c r="O19" s="134">
        <f t="shared" si="18"/>
        <v>861</v>
      </c>
      <c r="P19" s="134">
        <f t="shared" si="18"/>
        <v>422</v>
      </c>
      <c r="Q19" s="134">
        <f t="shared" si="18"/>
        <v>173</v>
      </c>
      <c r="R19" s="134">
        <f t="shared" si="18"/>
        <v>3329</v>
      </c>
      <c r="S19" s="134">
        <f t="shared" si="18"/>
        <v>15894</v>
      </c>
      <c r="T19" s="134">
        <f t="shared" si="18"/>
        <v>5026</v>
      </c>
      <c r="U19" s="134">
        <f t="shared" si="18"/>
        <v>4616</v>
      </c>
      <c r="V19" s="134">
        <f t="shared" si="18"/>
        <v>16377</v>
      </c>
      <c r="W19" s="134">
        <f t="shared" si="18"/>
        <v>1247</v>
      </c>
      <c r="X19" s="134">
        <f t="shared" si="18"/>
        <v>1754</v>
      </c>
      <c r="Y19" s="134">
        <f t="shared" si="18"/>
        <v>79</v>
      </c>
      <c r="Z19" s="134">
        <f t="shared" si="18"/>
        <v>45</v>
      </c>
      <c r="AA19" s="134">
        <f t="shared" si="18"/>
        <v>57</v>
      </c>
      <c r="AB19" s="134">
        <f t="shared" si="18"/>
        <v>67</v>
      </c>
      <c r="AC19" s="134">
        <f t="shared" si="18"/>
        <v>19</v>
      </c>
      <c r="AD19" s="134">
        <f t="shared" si="18"/>
        <v>31</v>
      </c>
      <c r="AE19" s="134">
        <f t="shared" si="18"/>
        <v>16</v>
      </c>
      <c r="AF19" s="134">
        <f t="shared" si="18"/>
        <v>34</v>
      </c>
      <c r="AG19" s="134">
        <f t="shared" si="18"/>
        <v>87</v>
      </c>
      <c r="AH19" s="134">
        <f t="shared" si="18"/>
        <v>45</v>
      </c>
      <c r="AI19" s="134">
        <f t="shared" si="18"/>
        <v>45</v>
      </c>
      <c r="AJ19" s="134">
        <f t="shared" si="18"/>
        <v>87</v>
      </c>
      <c r="AK19" s="134">
        <f t="shared" si="18"/>
        <v>7</v>
      </c>
      <c r="AL19" s="134">
        <f t="shared" si="18"/>
        <v>30</v>
      </c>
      <c r="AM19" s="134">
        <f t="shared" si="18"/>
        <v>34</v>
      </c>
      <c r="AN19" s="210">
        <f t="shared" si="18"/>
        <v>3</v>
      </c>
      <c r="AO19" s="211">
        <v>6</v>
      </c>
      <c r="AP19" s="211">
        <v>5</v>
      </c>
      <c r="AQ19" s="211">
        <v>5</v>
      </c>
      <c r="AR19" s="211">
        <v>5</v>
      </c>
      <c r="AS19" s="153">
        <f t="shared" si="18"/>
        <v>0</v>
      </c>
      <c r="AT19" s="153">
        <f t="shared" si="18"/>
        <v>0</v>
      </c>
      <c r="AU19" s="211"/>
      <c r="AV19" s="212"/>
      <c r="AW19" s="211"/>
      <c r="AX19" s="212"/>
      <c r="AY19" s="133">
        <f>SUBTOTAL(9,AY9:AY18)</f>
        <v>15981</v>
      </c>
      <c r="AZ19" s="134">
        <f>SUBTOTAL(9,AZ9:AZ18)</f>
        <v>5071</v>
      </c>
      <c r="BA19" s="134">
        <f>SUBTOTAL(9,BA9:BA18)</f>
        <v>4661</v>
      </c>
      <c r="BB19" s="134">
        <f>SUBTOTAL(9,BB9:BB18)</f>
        <v>16464</v>
      </c>
      <c r="BC19" s="135">
        <f>SUBTOTAL(9,BC9:BC18)</f>
        <v>697</v>
      </c>
      <c r="BD19" s="213">
        <f>IF(ISNUMBER(BA19/AZ19),BA19/AZ19," - ")</f>
        <v>0.91914809702228362</v>
      </c>
      <c r="BE19" s="210">
        <f>IF(ISNUMBER(BB19/BA19),BB19/BA19, " - ")</f>
        <v>3.5322892083243937</v>
      </c>
      <c r="BF19" s="210">
        <f>IF(ISNUMBER(BC19/BA19),BC19/BA19, " - ")</f>
        <v>0.1495387255953658</v>
      </c>
      <c r="BG19" s="135">
        <f>IF(ISNUMBER((AY19+AZ19)/BA19),(AY19+AZ19)/BA19," - ")</f>
        <v>4.5166273331903026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x8uRKtGnZGB4xWmxNrYWlSAFp1+m4DbOArridhmmBbO06oTmANilCZWzJm8dDq1tRGo2cKYOpUfPvjjTe5SOw==" saltValue="ZKt70LGrDQ+QaimnRlvoj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Wx1AMjJVUHgvdA7WhsbyX4uQjNaeQxw0gni4OsnTxiY3654s3WPYgr84eSWC3yTZ6XbtLO0uGvyXo/Zl9Wgdg==" saltValue="2QfKkUuWWQ4dwzDIy+sbl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EL PRAT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57</v>
      </c>
      <c r="G10" s="333">
        <f>IF(ISNUMBER(Datos!I10),Datos!I10," - ")</f>
        <v>57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v>
      </c>
      <c r="AC10" s="226">
        <f>IF(ISNUMBER(Datos!Q10),Datos!Q10," - ")</f>
        <v>0</v>
      </c>
      <c r="AD10" s="334"/>
      <c r="AE10" s="484"/>
      <c r="AF10" s="332">
        <f>IF(ISNUMBER(Datos!L10),Datos!L10,"-")</f>
        <v>56</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3</v>
      </c>
      <c r="BE10" s="229" t="str">
        <f>IF(ISNUMBER(Datos!BW10),Datos!BW10," - ")</f>
        <v xml:space="preserve"> - </v>
      </c>
      <c r="BF10" s="228" t="str">
        <f>IF(ISNUMBER(Datos!BX10),Datos!BX10," - ")</f>
        <v xml:space="preserve"> - </v>
      </c>
      <c r="BG10" s="243">
        <f>IF(ISNUMBER(Datos!K10/Datos!J10),Datos!K10/Datos!J10," - ")</f>
        <v>1.0833333333333333</v>
      </c>
      <c r="BH10" s="260">
        <f>IF(ISNUMBER(((Datos!L10/Datos!K10)*11)/factor_trimestre),((Datos!L10/Datos!K10)*11)/factor_trimestre," - ")</f>
        <v>12.923076923076922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45</v>
      </c>
      <c r="O12" s="334"/>
      <c r="P12" s="334"/>
      <c r="Q12" s="226">
        <f>IF(ISNUMBER(Datos!P12),Datos!P12,0)</f>
        <v>317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67</v>
      </c>
      <c r="AI12" s="334" t="str">
        <f>IF(ISNUMBER(Datos!CD12),Datos!CD12,"-")</f>
        <v>-</v>
      </c>
      <c r="AJ12" s="334" t="str">
        <f>IF(ISNUMBER(Datos!EN12),Datos!EN12," - ")</f>
        <v xml:space="preserve"> - </v>
      </c>
      <c r="AK12" s="334"/>
      <c r="AL12" s="479"/>
      <c r="AM12" s="335">
        <f>IF(ISNUMBER(Datos!R12),Datos!R12," - ")</f>
        <v>3069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1003</v>
      </c>
      <c r="BD12" s="229">
        <f>IF(ISNUMBER(Datos!N12),Datos!N12," - ")</f>
        <v>697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0.87437852171030828</v>
      </c>
      <c r="BH12" s="260">
        <f>IF(ISNUMBER(((IF(J_V="SI",Datos!L12/Datos!K12,(Datos!L12+Datos!AB12)/(Datos!K12+Datos!AA12)))*11)/factor_trimestre),((IF(J_V="SI",Datos!L12/Datos!K12,(Datos!L12+Datos!AB12)/(Datos!K12+Datos!AA12)))*11)/factor_trimestre," - ")</f>
        <v>13.991281273692193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6.7478260869565224E-2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57</v>
      </c>
      <c r="G13" s="898">
        <f t="shared" si="0"/>
        <v>57</v>
      </c>
      <c r="H13" s="899">
        <f t="shared" si="0"/>
        <v>0</v>
      </c>
      <c r="I13" s="898">
        <f t="shared" si="0"/>
        <v>0</v>
      </c>
      <c r="J13" s="867">
        <f t="shared" si="0"/>
        <v>0</v>
      </c>
      <c r="K13" s="867">
        <f t="shared" si="0"/>
        <v>0</v>
      </c>
      <c r="L13" s="899">
        <f t="shared" si="0"/>
        <v>0</v>
      </c>
      <c r="M13" s="899">
        <f t="shared" si="0"/>
        <v>0</v>
      </c>
      <c r="N13" s="899">
        <f t="shared" si="0"/>
        <v>45</v>
      </c>
      <c r="O13" s="900">
        <f t="shared" si="0"/>
        <v>0</v>
      </c>
      <c r="P13" s="900">
        <f t="shared" si="0"/>
        <v>0</v>
      </c>
      <c r="Q13" s="899">
        <f t="shared" si="0"/>
        <v>317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v>
      </c>
      <c r="AC13" s="899">
        <f t="shared" si="1"/>
        <v>123</v>
      </c>
      <c r="AD13" s="899">
        <f t="shared" si="1"/>
        <v>0</v>
      </c>
      <c r="AE13" s="899">
        <f t="shared" si="1"/>
        <v>0</v>
      </c>
      <c r="AF13" s="899">
        <f t="shared" si="1"/>
        <v>56</v>
      </c>
      <c r="AG13" s="899">
        <f t="shared" si="1"/>
        <v>0</v>
      </c>
      <c r="AH13" s="899">
        <f t="shared" si="1"/>
        <v>67</v>
      </c>
      <c r="AI13" s="899">
        <f t="shared" si="1"/>
        <v>0</v>
      </c>
      <c r="AJ13" s="899">
        <f t="shared" si="1"/>
        <v>0</v>
      </c>
      <c r="AK13" s="899">
        <f t="shared" si="1"/>
        <v>0</v>
      </c>
      <c r="AL13" s="899">
        <f t="shared" si="1"/>
        <v>0</v>
      </c>
      <c r="AM13" s="899">
        <f t="shared" si="1"/>
        <v>3091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1005</v>
      </c>
      <c r="BD13" s="899">
        <f t="shared" si="1"/>
        <v>700</v>
      </c>
      <c r="BE13" s="899">
        <f t="shared" si="1"/>
        <v>0</v>
      </c>
      <c r="BF13" s="899">
        <f t="shared" si="1"/>
        <v>0</v>
      </c>
      <c r="BG13" s="899">
        <f>IF(ISNUMBER(Datos!K13/Datos!J13),Datos!K13/Datos!J13," - ")</f>
        <v>0.86930294906166217</v>
      </c>
      <c r="BH13" s="903">
        <f>IF(ISNUMBER(((Datos!L13/Datos!K13)*11)/factor_trimestre),((Datos!L13/Datos!K13)*11)/factor_trimestre," - ")</f>
        <v>14.215882806476484</v>
      </c>
      <c r="BI13" s="899">
        <f>IF(ISNUMBER('Resol  Asuntos'!D13/NºAsuntos!G13),'Resol  Asuntos'!D13/NºAsuntos!G13," - ")</f>
        <v>0.37910222557525464</v>
      </c>
      <c r="BJ13" s="899" t="str">
        <f>IF(ISNUMBER(Datos!CI13/Datos!CJ13),Datos!CI13/Datos!CJ13," - ")</f>
        <v xml:space="preserve"> - </v>
      </c>
      <c r="BK13" s="899">
        <f>SUBTOTAL(9,BK8:BK12)</f>
        <v>0</v>
      </c>
      <c r="BL13" s="899">
        <f>IF(ISNUMBER((I13-AB13+L13)/(F13)),(I13-AB13+L13)/(F13)," - ")</f>
        <v>-0.22807017543859648</v>
      </c>
      <c r="BM13" s="904">
        <f>SUBTOTAL(9,BM9:BM12)</f>
        <v>6.7478260869565224E-2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3770</v>
      </c>
      <c r="G16" s="598">
        <f>IF(ISNUMBER(IF(D_I="SI",Datos!I16,Datos!I16+Datos!AC16)),IF(D_I="SI",Datos!I16,Datos!I16+Datos!AC16)," - ")</f>
        <v>4060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2877</v>
      </c>
      <c r="AC16" s="226">
        <f>IF(ISNUMBER(Datos!Q16),Datos!Q16," - ")</f>
        <v>49</v>
      </c>
      <c r="AD16" s="334"/>
      <c r="AE16" s="484"/>
      <c r="AF16" s="596">
        <f>IF(ISNUMBER(IF(D_I="SI",Datos!L16,Datos!L16+Datos!AF16)),IF(D_I="SI",Datos!L16,Datos!L16+Datos!AF16)," - ")</f>
        <v>4071</v>
      </c>
      <c r="AG16" s="334"/>
      <c r="AH16" s="334"/>
      <c r="AI16" s="334"/>
      <c r="AJ16" s="334"/>
      <c r="AK16" s="334"/>
      <c r="AL16" s="479"/>
      <c r="AM16" s="335">
        <f>IF(ISNUMBER(Datos!R16),Datos!R16," - ")</f>
        <v>238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255</v>
      </c>
      <c r="BD16" s="229">
        <f>IF(ISNUMBER(Datos!N16),Datos!N16," - ")</f>
        <v>1585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0.90528634361233484</v>
      </c>
      <c r="BH16" s="260">
        <f>IF(ISNUMBER(((IF(D_I="SI",Datos!L16/Datos!K16,(Datos!L16+Datos!AF16)/(Datos!K16+Datos!AE16)))*11)/factor_trimestre),((IF(D_I="SI",Datos!L16/Datos!K16,(Datos!L16+Datos!AF16)/(Datos!K16+Datos!AE16)))*11)/factor_trimestre," - ")</f>
        <v>4.2450469238790411</v>
      </c>
      <c r="BI16" s="243">
        <f>IF(ISNUMBER('Resol  Asuntos'!D16/NºAsuntos!G16),'Resol  Asuntos'!D16/NºAsuntos!G16," - ")</f>
        <v>8.8633993743482797E-2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97</v>
      </c>
      <c r="AC17" s="226">
        <f>IF(ISNUMBER(Datos!Q17),Datos!Q17," - ")</f>
        <v>1</v>
      </c>
      <c r="AD17" s="334"/>
      <c r="AE17" s="484"/>
      <c r="AF17" s="332">
        <f>IF(ISNUMBER(Datos!L17),Datos!L17,"-")</f>
        <v>69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1.1279069767441861</v>
      </c>
      <c r="BH17" s="260">
        <f>IF(ISNUMBER(((IF(D_I="SI",Datos!L17/Datos!K17,(Datos!L17+Datos!AF17)/(Datos!K17+Datos!AE17)))*11)/factor_trimestre),((IF(D_I="SI",Datos!L17/Datos!K17,(Datos!L17+Datos!AF17)/(Datos!K17+Datos!AE17)))*11)/factor_trimestre," - ")</f>
        <v>2.1340206185567014</v>
      </c>
      <c r="BI17" s="243">
        <f>IF(ISNUMBER('Resol  Asuntos'!D17/NºAsuntos!G17),'Resol  Asuntos'!D17/NºAsuntos!G17," - ")</f>
        <v>4.1237113402061855E-2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3770</v>
      </c>
      <c r="G18" s="898">
        <f>SUBTOTAL(9,G15:G17)</f>
        <v>4168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2974</v>
      </c>
      <c r="AC18" s="899">
        <f t="shared" si="4"/>
        <v>50</v>
      </c>
      <c r="AD18" s="899">
        <f t="shared" si="4"/>
        <v>0</v>
      </c>
      <c r="AE18" s="899">
        <f t="shared" si="4"/>
        <v>0</v>
      </c>
      <c r="AF18" s="899">
        <f t="shared" si="4"/>
        <v>4140</v>
      </c>
      <c r="AG18" s="899">
        <f t="shared" si="4"/>
        <v>0</v>
      </c>
      <c r="AH18" s="899">
        <f t="shared" si="4"/>
        <v>0</v>
      </c>
      <c r="AI18" s="899">
        <f t="shared" si="4"/>
        <v>0</v>
      </c>
      <c r="AJ18" s="899">
        <f t="shared" si="4"/>
        <v>0</v>
      </c>
      <c r="AK18" s="899">
        <f t="shared" si="4"/>
        <v>0</v>
      </c>
      <c r="AL18" s="899">
        <f t="shared" si="4"/>
        <v>0</v>
      </c>
      <c r="AM18" s="899">
        <f t="shared" si="4"/>
        <v>238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259</v>
      </c>
      <c r="BD18" s="899">
        <f t="shared" si="4"/>
        <v>1603</v>
      </c>
      <c r="BE18" s="899">
        <f t="shared" si="4"/>
        <v>0</v>
      </c>
      <c r="BF18" s="899">
        <f t="shared" si="4"/>
        <v>0</v>
      </c>
      <c r="BG18" s="899">
        <f>IF(ISNUMBER(Datos!K18/Datos!J18),Datos!K18/Datos!J18," - ")</f>
        <v>0.91115196078431371</v>
      </c>
      <c r="BH18" s="903">
        <f>IF(ISNUMBER(((Datos!L18/Datos!K18)*11)/factor_trimestre),((Datos!L18/Datos!K18)*11)/factor_trimestre," - ")</f>
        <v>4.1761936785474116</v>
      </c>
      <c r="BI18" s="899">
        <f>SUBTOTAL(9,BI15:BI17)</f>
        <v>0.12987110714554465</v>
      </c>
      <c r="BJ18" s="899">
        <f>SUBTOTAL(9,BJ15:BJ17)</f>
        <v>0</v>
      </c>
      <c r="BK18" s="899">
        <f>SUBTOTAL(9,BK15:BK17)</f>
        <v>0</v>
      </c>
      <c r="BL18" s="899">
        <f>IF(ISNUMBER((I18-AB18+L18)/(F18)),(I18-AB18+L18)/(F18)," - ")</f>
        <v>-0.7888594164456233</v>
      </c>
      <c r="BM18" s="905">
        <f>IF(ISNUMBER((Datos!P18-Datos!Q18)/(Datos!R18-Datos!P18+Datos!Q18)),(Datos!P18-Datos!Q18)/(Datos!R18-Datos!P18+Datos!Q18)," - ")</f>
        <v>0.30054644808743169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3827</v>
      </c>
      <c r="G19" s="820">
        <f t="shared" si="6"/>
        <v>4225</v>
      </c>
      <c r="H19" s="822">
        <f t="shared" si="6"/>
        <v>0</v>
      </c>
      <c r="I19" s="820">
        <f t="shared" si="6"/>
        <v>0</v>
      </c>
      <c r="J19" s="822">
        <f t="shared" si="6"/>
        <v>0</v>
      </c>
      <c r="K19" s="822">
        <f t="shared" si="6"/>
        <v>0</v>
      </c>
      <c r="L19" s="881">
        <f t="shared" si="6"/>
        <v>0</v>
      </c>
      <c r="M19" s="881">
        <f t="shared" si="6"/>
        <v>0</v>
      </c>
      <c r="N19" s="881">
        <f t="shared" si="6"/>
        <v>45</v>
      </c>
      <c r="O19" s="881">
        <f t="shared" si="6"/>
        <v>0</v>
      </c>
      <c r="P19" s="881">
        <f t="shared" si="6"/>
        <v>0</v>
      </c>
      <c r="Q19" s="822">
        <f t="shared" si="6"/>
        <v>422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2987</v>
      </c>
      <c r="AC19" s="821">
        <f t="shared" si="7"/>
        <v>173</v>
      </c>
      <c r="AD19" s="821">
        <f t="shared" si="7"/>
        <v>0</v>
      </c>
      <c r="AE19" s="821">
        <f t="shared" si="7"/>
        <v>0</v>
      </c>
      <c r="AF19" s="828">
        <f t="shared" si="7"/>
        <v>4196</v>
      </c>
      <c r="AG19" s="828">
        <f t="shared" si="7"/>
        <v>0</v>
      </c>
      <c r="AH19" s="828">
        <f t="shared" si="7"/>
        <v>67</v>
      </c>
      <c r="AI19" s="828">
        <f t="shared" si="7"/>
        <v>0</v>
      </c>
      <c r="AJ19" s="821">
        <f t="shared" si="7"/>
        <v>0</v>
      </c>
      <c r="AK19" s="828">
        <f t="shared" si="7"/>
        <v>0</v>
      </c>
      <c r="AL19" s="828">
        <f t="shared" si="7"/>
        <v>0</v>
      </c>
      <c r="AM19" s="828">
        <f t="shared" si="7"/>
        <v>3329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1264</v>
      </c>
      <c r="BD19" s="820">
        <f t="shared" si="7"/>
        <v>2303</v>
      </c>
      <c r="BE19" s="820">
        <f t="shared" si="7"/>
        <v>0</v>
      </c>
      <c r="BF19" s="830">
        <f t="shared" si="7"/>
        <v>0</v>
      </c>
      <c r="BG19" s="915">
        <f>IF(ISNUMBER(Datos!K19/Datos!J19),Datos!K19/Datos!J19," - ")</f>
        <v>0.89116517285531371</v>
      </c>
      <c r="BH19" s="915">
        <f>IF(ISNUMBER(((Datos!L19/Datos!K19)*11)/factor_trimestre),((Datos!L19/Datos!K19)*11)/factor_trimestre," - ")</f>
        <v>8.8534482758620694</v>
      </c>
      <c r="BI19" s="813">
        <f>IF(ISNUMBER(Datos!J19/Datos!I19),Datos!J19/Datos!I19," - ")</f>
        <v>0.37305946978743731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-0.78050692448393</v>
      </c>
      <c r="BM19" s="889">
        <f>IF(ISNUMBER((Datos!P19-Datos!Q19+R19)/(Datos!R19-Datos!P19+Datos!Q19-R19)),(Datos!P19-Datos!Q19+R19)/(Datos!R19-Datos!P19+Datos!Q19-R19)," - ")</f>
        <v>8.0844155844155843E-2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1690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2143.7015495010805</v>
      </c>
      <c r="G21" s="552">
        <f>IF(ISNUMBER(STDEV(G8:G18)),STDEV(G8:G18),"-")</f>
        <v>2213.2264908951365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1580.6499296175609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465.40935386675096</v>
      </c>
      <c r="BD21" s="551"/>
      <c r="BE21" s="551">
        <f>IF(ISNUMBER(STDEV(BE8:BE18)),STDEV(BE8:BE18),"-")</f>
        <v>0</v>
      </c>
      <c r="BF21" s="556">
        <f>IF(ISNUMBER(STDEV(BF8:BF18)),STDEV(BF8:BF18),"-")</f>
        <v>0</v>
      </c>
      <c r="BG21" s="775">
        <f>IF(ISNUMBER(STDEV(BG8:BG18)),STDEV(BG8:BG18),"-")</f>
        <v>0.11341874896591474</v>
      </c>
      <c r="BH21" s="776">
        <f>IF(ISNUMBER(STDEV(BH8:BH18)),STDEV(BH8:BH18),"-")</f>
        <v>5.6504229423783894</v>
      </c>
      <c r="BI21" s="249">
        <f>IF(ISNUMBER(STDEV(BI8:BI18)),STDEV(BI8:BI18),"-")</f>
        <v>0.15067728394258084</v>
      </c>
      <c r="BJ21" s="230" t="str">
        <f>IF(ISNUMBER(BL21/BM21),BL21/BM21," - ")</f>
        <v xml:space="preserve"> - </v>
      </c>
      <c r="BK21" s="575"/>
      <c r="BL21" s="559">
        <f>IF(ISNUMBER(STDEV(BL8:BL18)),STDEV(BL8:BL18),"-")</f>
        <v>0.39653787513252575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4WSDih/skJ6nIl2RpSZSUOeJpec2UKzp7brhWtYnxlpkCTPZ+uXXyhY8HHGPbPy76Qe7ykChjcyKg3wH1kKQyA==" saltValue="ZJhJBwgqR+hRuhjrQS75/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EL PRAT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57</v>
      </c>
      <c r="G10" s="225">
        <f>IF(ISNUMBER(Datos!I10),Datos!I10," - ")</f>
        <v>57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v>
      </c>
      <c r="Z10" s="619">
        <f>IF(ISNUMBER(Datos!Q10),Datos!Q10," - ")</f>
        <v>0</v>
      </c>
      <c r="AA10" s="332">
        <f>IF(ISNUMBER(Datos!L10),Datos!L10,"-")</f>
        <v>56</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2</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12.923076923076922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123</v>
      </c>
      <c r="AA12" s="332" t="str">
        <f>IF(ISNUMBER(IF(J_V="SI",Datos!L12,Datos!L12+Datos!AB12)-IF(Monitorios="SI",Datos!CD12,0)),
                          IF(J_V="SI",Datos!L12,Datos!L12+Datos!AB12)-IF(Monitorios="SI",Datos!CD12,0),
                          " - ")</f>
        <v xml:space="preserve"> - </v>
      </c>
      <c r="AB12" s="334"/>
      <c r="AC12" s="334"/>
      <c r="AD12" s="484"/>
      <c r="AE12" s="484">
        <f>IF(ISNUMBER(Datos!R12),Datos!R12," - ")</f>
        <v>3069</v>
      </c>
      <c r="AF12" s="229" t="str">
        <f>IF(ISNUMBER(Datos!BV12),Datos!BV12," - ")</f>
        <v xml:space="preserve"> - </v>
      </c>
      <c r="AG12" s="225" t="str">
        <f>IF(ISNUMBER(Datos!DV12),Datos!DV12," - ")</f>
        <v xml:space="preserve"> - </v>
      </c>
      <c r="AH12" s="298"/>
      <c r="AI12" s="227"/>
      <c r="AJ12" s="225">
        <f>IF(ISNUMBER(Datos!M12),Datos!M12," - ")</f>
        <v>1003</v>
      </c>
      <c r="AK12" s="229">
        <f>IF(ISNUMBER(Datos!N12),Datos!N12," - ")</f>
        <v>697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13.991281273692193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6.7478260869565224E-2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57</v>
      </c>
      <c r="G13" s="898">
        <f>SUBTOTAL(9,G8:G12)</f>
        <v>57</v>
      </c>
      <c r="H13" s="908"/>
      <c r="I13" s="898">
        <f t="shared" ref="I13:N13" si="0">SUBTOTAL(9,I8:I12)</f>
        <v>0</v>
      </c>
      <c r="J13" s="867">
        <f t="shared" si="0"/>
        <v>0</v>
      </c>
      <c r="K13" s="908">
        <f t="shared" si="0"/>
        <v>0</v>
      </c>
      <c r="L13" s="908">
        <f t="shared" si="0"/>
        <v>0</v>
      </c>
      <c r="M13" s="908">
        <f t="shared" si="0"/>
        <v>0</v>
      </c>
      <c r="N13" s="908">
        <f t="shared" si="0"/>
        <v>317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v>
      </c>
      <c r="Z13" s="907">
        <f t="shared" si="2"/>
        <v>123</v>
      </c>
      <c r="AA13" s="900">
        <f t="shared" si="2"/>
        <v>56</v>
      </c>
      <c r="AB13" s="900">
        <f t="shared" si="2"/>
        <v>0</v>
      </c>
      <c r="AC13" s="900">
        <f t="shared" si="2"/>
        <v>0</v>
      </c>
      <c r="AD13" s="900">
        <f t="shared" si="2"/>
        <v>0</v>
      </c>
      <c r="AE13" s="900">
        <f t="shared" si="2"/>
        <v>3091</v>
      </c>
      <c r="AF13" s="908">
        <f t="shared" si="2"/>
        <v>0</v>
      </c>
      <c r="AG13" s="908">
        <f t="shared" si="2"/>
        <v>0</v>
      </c>
      <c r="AH13" s="908">
        <f t="shared" si="2"/>
        <v>0</v>
      </c>
      <c r="AI13" s="908">
        <f t="shared" si="2"/>
        <v>0</v>
      </c>
      <c r="AJ13" s="908">
        <f t="shared" si="2"/>
        <v>1005</v>
      </c>
      <c r="AK13" s="908">
        <f t="shared" si="2"/>
        <v>700</v>
      </c>
      <c r="AL13" s="908">
        <f t="shared" si="2"/>
        <v>0</v>
      </c>
      <c r="AM13" s="908">
        <f t="shared" si="2"/>
        <v>0</v>
      </c>
      <c r="AN13" s="908">
        <f t="shared" si="2"/>
        <v>0</v>
      </c>
      <c r="AO13" s="904">
        <f>IF(ISNUMBER(((NºAsuntos!I13/NºAsuntos!G13)*11)/factor_trimestre),((NºAsuntos!I13/NºAsuntos!G13)*11)/factor_trimestre," - ")</f>
        <v>13.986043002640514</v>
      </c>
      <c r="AP13" s="910" t="str">
        <f>IF(ISNUMBER(Datos!CI13/Datos!CJ13),Datos!CI13/Datos!CJ13," - ")</f>
        <v xml:space="preserve"> - </v>
      </c>
      <c r="AQ13" s="928">
        <f t="shared" ref="AQ13:AV13" si="3">SUBTOTAL(9,AQ9:AQ12)</f>
        <v>0</v>
      </c>
      <c r="AR13" s="928">
        <f t="shared" si="3"/>
        <v>6.7478260869565224E-2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3770</v>
      </c>
      <c r="G16" s="225">
        <f>IF(ISNUMBER(IF(D_I="SI",Datos!I16,Datos!I16+Datos!AC16)),IF(D_I="SI",Datos!I16,Datos!I16+Datos!AC16)," - ")</f>
        <v>4060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2877</v>
      </c>
      <c r="Z16" s="619">
        <f>IF(ISNUMBER(Datos!Q16),Datos!Q16," - ")</f>
        <v>49</v>
      </c>
      <c r="AA16" s="332">
        <f>IF(ISNUMBER(IF(D_I="SI",Datos!L16,Datos!L16+Datos!AF16)),IF(D_I="SI",Datos!L16,Datos!L16+Datos!AF16)," - ")</f>
        <v>4071</v>
      </c>
      <c r="AB16" s="334"/>
      <c r="AC16" s="334"/>
      <c r="AD16" s="484"/>
      <c r="AE16" s="484">
        <f>IF(ISNUMBER(Datos!R16),Datos!R16," - ")</f>
        <v>238</v>
      </c>
      <c r="AF16" s="229" t="str">
        <f>IF(ISNUMBER(Datos!BV16),Datos!BV16," - ")</f>
        <v xml:space="preserve"> - </v>
      </c>
      <c r="AG16" s="225"/>
      <c r="AH16" s="298"/>
      <c r="AI16" s="227"/>
      <c r="AJ16" s="225">
        <f>IF(ISNUMBER(Datos!M16),Datos!M16," - ")</f>
        <v>255</v>
      </c>
      <c r="AK16" s="229">
        <f>IF(ISNUMBER(Datos!N16),Datos!N16," - ")</f>
        <v>1585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4.2450469238790411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97</v>
      </c>
      <c r="Z17" s="619">
        <f>IF(ISNUMBER(Datos!Q17),Datos!Q17," - ")</f>
        <v>1</v>
      </c>
      <c r="AA17" s="332">
        <f>IF(ISNUMBER(Datos!L17),Datos!L17,"-")</f>
        <v>69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2.1340206185567014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3770</v>
      </c>
      <c r="G18" s="898">
        <f>SUBTOTAL(9,G15:G17)</f>
        <v>4168</v>
      </c>
      <c r="H18" s="932">
        <f>SUBTOTAL(9,H15:H17)</f>
        <v>0</v>
      </c>
      <c r="I18" s="911">
        <f>SUBTOTAL(9,I15:I17)</f>
        <v>0</v>
      </c>
      <c r="J18" s="867">
        <f>SUBTOTAL(9,J14:J17)</f>
        <v>0</v>
      </c>
      <c r="K18" s="932">
        <f t="shared" ref="K18:S18" si="4">SUBTOTAL(9,K15:K17)</f>
        <v>0</v>
      </c>
      <c r="L18" s="932">
        <f t="shared" si="4"/>
        <v>0</v>
      </c>
      <c r="M18" s="932">
        <f t="shared" si="4"/>
        <v>0</v>
      </c>
      <c r="N18" s="932">
        <f t="shared" si="4"/>
        <v>105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2974</v>
      </c>
      <c r="Z18" s="932">
        <f t="shared" si="5"/>
        <v>50</v>
      </c>
      <c r="AA18" s="932">
        <f t="shared" si="5"/>
        <v>4140</v>
      </c>
      <c r="AB18" s="932">
        <f t="shared" si="5"/>
        <v>0</v>
      </c>
      <c r="AC18" s="932">
        <f t="shared" si="5"/>
        <v>0</v>
      </c>
      <c r="AD18" s="932">
        <f t="shared" si="5"/>
        <v>0</v>
      </c>
      <c r="AE18" s="932">
        <f t="shared" si="5"/>
        <v>238</v>
      </c>
      <c r="AF18" s="932">
        <f t="shared" si="5"/>
        <v>0</v>
      </c>
      <c r="AG18" s="932">
        <f t="shared" si="5"/>
        <v>0</v>
      </c>
      <c r="AH18" s="932">
        <f t="shared" si="5"/>
        <v>0</v>
      </c>
      <c r="AI18" s="932">
        <f t="shared" si="5"/>
        <v>0</v>
      </c>
      <c r="AJ18" s="932">
        <f t="shared" si="5"/>
        <v>259</v>
      </c>
      <c r="AK18" s="932">
        <f t="shared" si="5"/>
        <v>1603</v>
      </c>
      <c r="AL18" s="932">
        <f t="shared" si="5"/>
        <v>0</v>
      </c>
      <c r="AM18" s="932">
        <f t="shared" si="5"/>
        <v>0</v>
      </c>
      <c r="AN18" s="932">
        <f t="shared" si="5"/>
        <v>0</v>
      </c>
      <c r="AO18" s="934">
        <f>IF(ISNUMBER(((NºAsuntos!I18/NºAsuntos!G18)*11)/factor_trimestre),((NºAsuntos!I18/NºAsuntos!G18)*11)/factor_trimestre," - ")</f>
        <v>4.1761936785474116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3827</v>
      </c>
      <c r="G19" s="820">
        <f t="shared" si="7"/>
        <v>4225</v>
      </c>
      <c r="H19" s="821">
        <f t="shared" si="7"/>
        <v>0</v>
      </c>
      <c r="I19" s="820">
        <f t="shared" si="7"/>
        <v>0</v>
      </c>
      <c r="J19" s="822">
        <f t="shared" si="7"/>
        <v>0</v>
      </c>
      <c r="K19" s="820">
        <f t="shared" si="7"/>
        <v>0</v>
      </c>
      <c r="L19" s="823">
        <f t="shared" si="7"/>
        <v>0</v>
      </c>
      <c r="M19" s="820">
        <f t="shared" si="7"/>
        <v>0</v>
      </c>
      <c r="N19" s="821">
        <f t="shared" si="7"/>
        <v>422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2987</v>
      </c>
      <c r="Z19" s="827">
        <f t="shared" si="8"/>
        <v>173</v>
      </c>
      <c r="AA19" s="828">
        <f t="shared" si="8"/>
        <v>4196</v>
      </c>
      <c r="AB19" s="828">
        <f t="shared" si="8"/>
        <v>0</v>
      </c>
      <c r="AC19" s="828">
        <f t="shared" si="8"/>
        <v>0</v>
      </c>
      <c r="AD19" s="829">
        <f t="shared" si="8"/>
        <v>0</v>
      </c>
      <c r="AE19" s="829">
        <f t="shared" si="8"/>
        <v>3329</v>
      </c>
      <c r="AF19" s="830">
        <f t="shared" si="8"/>
        <v>0</v>
      </c>
      <c r="AG19" s="831">
        <f t="shared" si="8"/>
        <v>0</v>
      </c>
      <c r="AH19" s="832">
        <f t="shared" si="8"/>
        <v>0</v>
      </c>
      <c r="AI19" s="830">
        <f t="shared" si="8"/>
        <v>0</v>
      </c>
      <c r="AJ19" s="820">
        <f t="shared" si="8"/>
        <v>1264</v>
      </c>
      <c r="AK19" s="820">
        <f t="shared" si="8"/>
        <v>2303</v>
      </c>
      <c r="AL19" s="820">
        <f t="shared" si="8"/>
        <v>0</v>
      </c>
      <c r="AM19" s="833">
        <f t="shared" si="8"/>
        <v>0</v>
      </c>
      <c r="AN19" s="823">
        <f>IF(ISNUMBER(Datos!K19/Datos!J19),Datos!K19/Datos!J19," - ")</f>
        <v>0.89116517285531371</v>
      </c>
      <c r="AO19" s="823">
        <f>IF(ISNUMBER(FIND("06",Criterios!A8,1)),(IF(ISNUMBER(((Datos!R19/Datos!Q19)*11)/factor_trimestre),((Datos!R19/Datos!Q19)*11)/factor_trimestre," - ")),(IF(ISNUMBER(((Datos!L19/Datos!K19)*11)/factor_trimestre),((Datos!L19/Datos!K19)*11)/factor_trimestre," - ")))</f>
        <v>8.8534482758620694</v>
      </c>
      <c r="AP19" s="834" t="str">
        <f>IF(ISNUMBER(Datos!CI19/Datos!CJ19),Datos!CI19/Datos!CJ19," - ")</f>
        <v xml:space="preserve"> - </v>
      </c>
      <c r="AQ19" s="834">
        <f>IF(OR(ISNUMBER(FIND("01",Criterios!A8,1)),ISNUMBER(FIND("02",Criterios!A8,1)),ISNUMBER(FIND("03",Criterios!A8,1)),ISNUMBER(FIND("04",Criterios!A8,1))),(J19-Y19+K19)/(F19-K19),(I19-Y19+K19)/(F19-K19))</f>
        <v>-0.78050692448393</v>
      </c>
      <c r="AR19" s="834">
        <f>IF(ISNUMBER((Datos!P19-Datos!Q19+O19)/(Datos!R19-Datos!P19+Datos!Q19-O19)),(Datos!P19-Datos!Q19+O19)/(Datos!R19-Datos!P19+Datos!Q19-O19)," - ")</f>
        <v>8.0844155844155843E-2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1690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2143.7015495010805</v>
      </c>
      <c r="G21" s="552">
        <f>IF(ISNUMBER(STDEV(G8:G18)),STDEV(G8:G18),"-")</f>
        <v>2213.2264908951365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465.40935386675096</v>
      </c>
      <c r="AK21" s="252"/>
      <c r="AL21" s="252">
        <f>IF(ISNUMBER(STDEV(AL8:AL18)),STDEV(AL8:AL18),"-")</f>
        <v>0</v>
      </c>
      <c r="AM21" s="254">
        <f>IF(ISNUMBER(STDEV(AM8:AM18)),STDEV(AM8:AM18),"-")</f>
        <v>0</v>
      </c>
      <c r="AN21" s="539">
        <f>IF(ISNUMBER(STDEV(AN8:AN18)),STDEV(AN8:AN18),"-")</f>
        <v>0</v>
      </c>
      <c r="AO21" s="540">
        <f>IF(ISNUMBER(STDEV(AO8:AO18)),STDEV(AO8:AO18),"-")</f>
        <v>5.6054520403723336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lEBeC8fZiqaSqhqiUgowabzQmJ0PoSMSKZfc9ig/h9mwNJnmH4qPRzyEIemxwLJv6WRKc7xpRzj/eEo0v0F9w==" saltValue="u/iCatkOdshbJVDZeodCI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EaNOVu+czdyqbLUjROm12zRht8cvjRvRG0nS4tl6MOSLOgdZ6BOqTRp5KzhBnktyLXxPp5joz02DV+xdw+sGw==" saltValue="tnaEWEsiqmpuqJaryTdm6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A1+WxVnhroQIjn8atfh5y0W9fOmECSC7c6GUjP0pgXSaA2URmSnZvt5K6KG9WJwUayQ3ordf/a0bLIc4qAGUw==" saltValue="tcgvVNyGLpsKBVmbKBE4X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EL PRAT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0.37910222557525464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0.26806575446717479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9EgCEgtlkI4NMstsPX0XOzt0Zrc8oTQZB7bc2lY6TXj+MakjfqoIsKeUSIzLllT06xT3aPVnjefVKMdXSF8hEQ==" saltValue="8eatUYAjGYOI+8gw6dmyq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FwRwtBpkum6k/DPuLFYGUoctc4+ztgYQzloyi27LLrXoDE4iaYvaIJSAMEIpE+diHrU3mT/SZ1OzUXLSqAD/pQ==" saltValue="cjPykOg5AuWPoGZoIdPdI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EL PRAT DE LLOBREGAT</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57</v>
      </c>
      <c r="D10" s="404">
        <f>IF(ISNUMBER(C10/Datos!BH10),C10/Datos!BH10," - ")</f>
        <v>57</v>
      </c>
      <c r="E10" s="403">
        <f>IF(ISNUMBER(Datos!J10),Datos!J10," - ")</f>
        <v>12</v>
      </c>
      <c r="F10" s="404">
        <f>IF(ISNUMBER(E10/B10),E10/B10," - ")</f>
        <v>12</v>
      </c>
      <c r="G10" s="403">
        <f>IF(ISNUMBER(Datos!K10),Datos!K10," - ")</f>
        <v>13</v>
      </c>
      <c r="H10" s="404">
        <f>IF(ISNUMBER(G10/B10),G10/B10," - ")</f>
        <v>13</v>
      </c>
      <c r="I10" s="403">
        <f>IF(ISNUMBER(Datos!L10),Datos!L10," - ")</f>
        <v>56</v>
      </c>
      <c r="J10" s="404">
        <f>IF(ISNUMBER(I10/B10),I10/B10," - ")</f>
        <v>56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12602</v>
      </c>
      <c r="D12" s="404">
        <f>IF(ISNUMBER(C12/Datos!BH12),C12/Datos!BH12," - ")</f>
        <v>2520.4</v>
      </c>
      <c r="E12" s="403">
        <f>IF(ISNUMBER(IF(J_V="SI",Datos!J12,Datos!J12+Datos!Z12)),IF(J_V="SI",Datos!J12,Datos!J12+Datos!Z12)," - ")</f>
        <v>3017</v>
      </c>
      <c r="F12" s="404">
        <f>IF(ISNUMBER(E12/B12),E12/B12," - ")</f>
        <v>603.4</v>
      </c>
      <c r="G12" s="403">
        <f>IF(ISNUMBER(IF(J_V="SI",Datos!K12,Datos!K12+Datos!AA12)),IF(J_V="SI",Datos!K12,Datos!K12+Datos!AA12)," - ")</f>
        <v>2638</v>
      </c>
      <c r="H12" s="404">
        <f>IF(ISNUMBER(G12/B12),G12/B12," - ")</f>
        <v>527.6</v>
      </c>
      <c r="I12" s="403">
        <f>IF(ISNUMBER(IF(J_V="SI",Datos!L12,Datos!L12+Datos!AB12)),IF(J_V="SI",Datos!L12,Datos!L12+Datos!AB12)," - ")</f>
        <v>12303</v>
      </c>
      <c r="J12" s="404">
        <f>IF(ISNUMBER(I12/B12),I12/B12," - ")</f>
        <v>2460.6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12659</v>
      </c>
      <c r="D13" s="850" t="str">
        <f>IF(ISNUMBER(C13/Datos!BI13),C13/Datos!BI13," - ")</f>
        <v xml:space="preserve"> - </v>
      </c>
      <c r="E13" s="849">
        <f>SUBTOTAL(9,E8:E12)</f>
        <v>3029</v>
      </c>
      <c r="F13" s="850">
        <f>IF(ISNUMBER(E13/B13),E13/B13," - ")</f>
        <v>605.79999999999995</v>
      </c>
      <c r="G13" s="849">
        <f>SUBTOTAL(9,G8:G12)</f>
        <v>2651</v>
      </c>
      <c r="H13" s="850">
        <f>IF(ISNUMBER(G13/B13),G13/B13," - ")</f>
        <v>530.20000000000005</v>
      </c>
      <c r="I13" s="849">
        <f>SUBTOTAL(9,I8:I12)</f>
        <v>12359</v>
      </c>
      <c r="J13" s="850">
        <f>IF(ISNUMBER(I13/B13),I13/B13," - ")</f>
        <v>2471.8000000000002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4060</v>
      </c>
      <c r="D16" s="404">
        <f>IF(ISNUMBER(C16/Datos!BH16),C16/Datos!BH16," - ")</f>
        <v>812</v>
      </c>
      <c r="E16" s="403">
        <f>IF(ISNUMBER(IF(D_I="SI",Datos!J16,Datos!J16+Datos!AD16)),IF(D_I="SI",Datos!J16,Datos!J16+Datos!AD16)," - ")</f>
        <v>3178</v>
      </c>
      <c r="F16" s="404">
        <f>IF(ISNUMBER(E16/B16),E16/B16," - ")</f>
        <v>635.6</v>
      </c>
      <c r="G16" s="403">
        <f>IF(ISNUMBER(IF(D_I="SI",Datos!K16,Datos!K16+Datos!AE16)),IF(D_I="SI",Datos!K16,Datos!K16+Datos!AE16)," - ")</f>
        <v>2877</v>
      </c>
      <c r="H16" s="404">
        <f>IF(ISNUMBER(G16/B16),G16/B16," - ")</f>
        <v>575.4</v>
      </c>
      <c r="I16" s="403">
        <f>IF(ISNUMBER(IF(D_I="SI",Datos!L16,Datos!L16+Datos!AF16)),IF(D_I="SI",Datos!L16,Datos!L16+Datos!AF16)," - ")</f>
        <v>4071</v>
      </c>
      <c r="J16" s="404">
        <f>IF(ISNUMBER(I16/B16),I16/B16," - ")</f>
        <v>814.2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108</v>
      </c>
      <c r="D17" s="404">
        <f>IF(ISNUMBER(C17/Datos!BH17),C17/Datos!BH17," - ")</f>
        <v>108</v>
      </c>
      <c r="E17" s="403">
        <f>IF(ISNUMBER(IF(D_I="SI",Datos!J17,Datos!J17+Datos!AD17)),IF(D_I="SI",Datos!J17,Datos!J17+Datos!AD17)," - ")</f>
        <v>86</v>
      </c>
      <c r="F17" s="404">
        <f>IF(ISNUMBER(E17/B17),E17/B17," - ")</f>
        <v>86</v>
      </c>
      <c r="G17" s="403">
        <f>IF(ISNUMBER(IF(D_I="SI",Datos!K17,Datos!K17+Datos!AE17)),IF(D_I="SI",Datos!K17,Datos!K17+Datos!AE17)," - ")</f>
        <v>97</v>
      </c>
      <c r="H17" s="404">
        <f>IF(ISNUMBER(G17/B17),G17/B17," - ")</f>
        <v>97</v>
      </c>
      <c r="I17" s="403">
        <f>IF(ISNUMBER(IF(D_I="SI",Datos!L17,Datos!L17+Datos!AF17)),IF(D_I="SI",Datos!L17,Datos!L17+Datos!AF17)," - ")</f>
        <v>69</v>
      </c>
      <c r="J17" s="404">
        <f>IF(ISNUMBER(I17/B17),I17/B17," - ")</f>
        <v>69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4168</v>
      </c>
      <c r="D18" s="850" t="str">
        <f>IF(ISNUMBER(C18/Datos!BI18),C18/Datos!BI18," - ")</f>
        <v xml:space="preserve"> - </v>
      </c>
      <c r="E18" s="849">
        <f>SUBTOTAL(9,E14:E17)</f>
        <v>3264</v>
      </c>
      <c r="F18" s="850">
        <f>IF(ISNUMBER(E18/B18),E18/B18," - ")</f>
        <v>652.79999999999995</v>
      </c>
      <c r="G18" s="849">
        <f>SUBTOTAL(9,G14:G17)</f>
        <v>2974</v>
      </c>
      <c r="H18" s="850">
        <f>IF(ISNUMBER(G18/B18),G18/B18," - ")</f>
        <v>594.79999999999995</v>
      </c>
      <c r="I18" s="849">
        <f>SUBTOTAL(9,I14:I17)</f>
        <v>4140</v>
      </c>
      <c r="J18" s="850">
        <f>IF(ISNUMBER(I18/B18),I18/B18," - ")</f>
        <v>828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16827</v>
      </c>
      <c r="D19" s="795" t="str">
        <f>IF(ISNUMBER(C19/Datos!BI19),C19/Datos!BI19," - ")</f>
        <v xml:space="preserve"> - </v>
      </c>
      <c r="E19" s="794">
        <f>SUBTOTAL(9,E9:E18)</f>
        <v>6293</v>
      </c>
      <c r="F19" s="795">
        <f>IF(ISNUMBER(E19/B19),E19/B19," - ")</f>
        <v>1258.5999999999999</v>
      </c>
      <c r="G19" s="794">
        <f>SUBTOTAL(9,G9:G18)</f>
        <v>5625</v>
      </c>
      <c r="H19" s="795">
        <f>IF(ISNUMBER(G19/B19),G19/B19," - ")</f>
        <v>1125</v>
      </c>
      <c r="I19" s="794">
        <f>SUBTOTAL(9,I9:I18)</f>
        <v>16499</v>
      </c>
      <c r="J19" s="795">
        <f>IF(ISNUMBER(I19/B19),I19/B19," - ")</f>
        <v>3299.8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QoSmYCUtI0QUpaGFtuBR6tJ/P8+uUpJP6oVNT3Fzm0GzuBLwfY9vm01l8+Nbk2mo6WzIUejZ5OH9495naGdyug==" saltValue="9S2BJ95zZXY3cQ09GjkmS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EL PRAT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57</v>
      </c>
      <c r="G10" s="684">
        <f>IF(ISNUMBER(Datos!I10),Datos!I10," - ")</f>
        <v>57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v>
      </c>
      <c r="AC10" s="683" t="str">
        <f>IF(ISNUMBER(IF(D_I="SI",DatosP!K17,DatosP!K17+DatosP!AE17)),IF(D_I="SI",DatosP!K17,DatosP!K17+DatosP!AE17)," - ")</f>
        <v xml:space="preserve"> - </v>
      </c>
      <c r="AD10" s="685"/>
      <c r="AE10" s="685"/>
      <c r="AF10" s="688">
        <f>IF(ISNUMBER(Datos!L10),Datos!L10,"-")</f>
        <v>56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12.923076923076922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3069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1003</v>
      </c>
      <c r="AM12" s="690">
        <f>IF(ISNUMBER(Datos!N12+DatosP!N16),Datos!N12+DatosP!N16," - ")</f>
        <v>697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13.991281273692193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6.7478260869565224E-2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57</v>
      </c>
      <c r="G13" s="938">
        <f t="shared" si="0"/>
        <v>57</v>
      </c>
      <c r="H13" s="938">
        <f t="shared" si="0"/>
        <v>0</v>
      </c>
      <c r="I13" s="940">
        <f t="shared" si="0"/>
        <v>0</v>
      </c>
      <c r="J13" s="939">
        <f t="shared" si="0"/>
        <v>0</v>
      </c>
      <c r="K13" s="939">
        <f t="shared" si="0"/>
        <v>0</v>
      </c>
      <c r="L13" s="941">
        <f t="shared" si="0"/>
        <v>0</v>
      </c>
      <c r="M13" s="941">
        <f t="shared" si="0"/>
        <v>0</v>
      </c>
      <c r="N13" s="939">
        <f t="shared" si="0"/>
        <v>317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v>
      </c>
      <c r="AC13" s="939">
        <f t="shared" si="1"/>
        <v>0</v>
      </c>
      <c r="AD13" s="939">
        <f t="shared" si="1"/>
        <v>123</v>
      </c>
      <c r="AE13" s="939">
        <f t="shared" si="1"/>
        <v>0</v>
      </c>
      <c r="AF13" s="939">
        <f t="shared" si="1"/>
        <v>56</v>
      </c>
      <c r="AG13" s="939">
        <f t="shared" si="1"/>
        <v>0</v>
      </c>
      <c r="AH13" s="939">
        <f t="shared" si="1"/>
        <v>3069</v>
      </c>
      <c r="AI13" s="939">
        <f t="shared" si="1"/>
        <v>0</v>
      </c>
      <c r="AJ13" s="939">
        <f t="shared" si="1"/>
        <v>0</v>
      </c>
      <c r="AK13" s="939">
        <f t="shared" si="1"/>
        <v>0</v>
      </c>
      <c r="AL13" s="939">
        <f t="shared" si="1"/>
        <v>1005</v>
      </c>
      <c r="AM13" s="939">
        <f t="shared" si="1"/>
        <v>700</v>
      </c>
      <c r="AN13" s="939">
        <f t="shared" si="1"/>
        <v>0</v>
      </c>
      <c r="AO13" s="939">
        <f t="shared" si="1"/>
        <v>0</v>
      </c>
      <c r="AP13" s="944">
        <f>IF(ISNUMBER(((Datos!L13/Datos!K13)*11)/factor_trimestre),((Datos!L13/Datos!K13)*11)/factor_trimestre," - ")</f>
        <v>14.215882806476484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-0.22807017543859648</v>
      </c>
      <c r="AU13" s="939" t="str">
        <f>IF(ISNUMBER((DatosP!#REF!-DatosP!#REF!+DatosP!#REF!)/(DatosP!#REF!+DatosP!#REF!-DatosP!#REF!-DatosP!#REF!)),(DatosP!#REF!-DatosP!#REF!+DatosP!#REF!)/(DatosP!#REF!+DatosP!#REF!-DatosP!#REF!-DatosP!#REF!)," - ")</f>
        <v xml:space="preserve"> - </v>
      </c>
      <c r="AV13" s="945">
        <f>SUBTOTAL(9,AV9:AV12)</f>
        <v>6.7478260869565224E-2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4.1761936785474116</v>
      </c>
      <c r="AQ18" s="944">
        <f>IF(ISNUMBER(((Datos!M18/Datos!L18)*11)/factor_trimestre),((Datos!M18/Datos!L18)*11)/factor_trimestre," - ")</f>
        <v>0.18768115942028987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0.30054644808743169</v>
      </c>
      <c r="AW18" s="946">
        <f>IF(ISNUMBER((Datos!Q18-Datos!R18)/(Datos!S18-Datos!Q18+Datos!R18)),(Datos!Q18-Datos!R18)/(Datos!S18-Datos!Q18+Datos!R18)," - ")</f>
        <v>-5.6711915535444947E-2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57</v>
      </c>
      <c r="G19" s="951">
        <f t="shared" si="4"/>
        <v>57</v>
      </c>
      <c r="H19" s="951">
        <f t="shared" si="4"/>
        <v>0</v>
      </c>
      <c r="I19" s="952">
        <f t="shared" si="4"/>
        <v>0</v>
      </c>
      <c r="J19" s="953">
        <f t="shared" si="4"/>
        <v>0</v>
      </c>
      <c r="K19" s="953">
        <f t="shared" si="4"/>
        <v>0</v>
      </c>
      <c r="L19" s="953">
        <f t="shared" si="4"/>
        <v>0</v>
      </c>
      <c r="M19" s="953">
        <f t="shared" si="4"/>
        <v>0</v>
      </c>
      <c r="N19" s="952">
        <f t="shared" si="4"/>
        <v>317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v>
      </c>
      <c r="AC19" s="957">
        <f t="shared" si="5"/>
        <v>0</v>
      </c>
      <c r="AD19" s="957">
        <f t="shared" si="5"/>
        <v>123</v>
      </c>
      <c r="AE19" s="957">
        <f t="shared" si="5"/>
        <v>0</v>
      </c>
      <c r="AF19" s="958">
        <f t="shared" si="5"/>
        <v>56</v>
      </c>
      <c r="AG19" s="958">
        <f t="shared" si="5"/>
        <v>0</v>
      </c>
      <c r="AH19" s="958">
        <f t="shared" si="5"/>
        <v>3069</v>
      </c>
      <c r="AI19" s="958">
        <f t="shared" si="5"/>
        <v>0</v>
      </c>
      <c r="AJ19" s="959">
        <f t="shared" si="5"/>
        <v>0</v>
      </c>
      <c r="AK19" s="959">
        <f t="shared" si="5"/>
        <v>0</v>
      </c>
      <c r="AL19" s="951">
        <f t="shared" si="5"/>
        <v>1005</v>
      </c>
      <c r="AM19" s="951">
        <f t="shared" si="5"/>
        <v>700</v>
      </c>
      <c r="AN19" s="951">
        <f t="shared" si="5"/>
        <v>0</v>
      </c>
      <c r="AO19" s="951">
        <f t="shared" si="5"/>
        <v>0</v>
      </c>
      <c r="AP19" s="951">
        <f>IF(ISNUMBER(((Datos!L19/Datos!K19)*11)/factor_trimestre),((Datos!L19/Datos!K19)*11)/factor_trimestre," - ")</f>
        <v>8.8534482758620694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-0.22807017543859648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8.0844155844155843E-2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32.908965343808667</v>
      </c>
      <c r="G21" s="737">
        <f>IF(ISNUMBER(STDEV(G8:G18)),STDEV(G8:G18),"-")</f>
        <v>32.908965343808667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7.5055534994651349</v>
      </c>
      <c r="AC21" s="738">
        <f>IF(ISNUMBER(STDEV(AC8:AC18)),STDEV(AC8:AC18),"-")</f>
        <v>0</v>
      </c>
      <c r="AD21" s="741"/>
      <c r="AE21" s="741"/>
      <c r="AF21" s="741"/>
      <c r="AG21" s="741"/>
      <c r="AH21" s="741"/>
      <c r="AI21" s="741"/>
      <c r="AJ21" s="742">
        <f>IF(ISNUMBER(STDEV(AJ8:AJ18)),STDEV(AJ8:AJ18),"-")</f>
        <v>0</v>
      </c>
      <c r="AK21" s="744"/>
      <c r="AL21" s="736">
        <f>IF(ISNUMBER(STDEV(AL8:AL18)),STDEV(AL8:AL18),"-")</f>
        <v>579.0834712428483</v>
      </c>
      <c r="AM21" s="736"/>
      <c r="AN21" s="736">
        <f>IF(ISNUMBER(STDEV(AN8:AN18)),STDEV(AN8:AN18),"-")</f>
        <v>0</v>
      </c>
      <c r="AO21" s="742">
        <f>IF(ISNUMBER(STDEV(AO8:AO18)),STDEV(AO8:AO18),"-")</f>
        <v>0</v>
      </c>
      <c r="AP21" s="779">
        <f>IF(ISNUMBER(STDEV(AP8:AP18)),STDEV(AP8:AP18),"-")</f>
        <v>4.8001920292717486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FVri8yUk2OUAaAs7UmKrqqyP/KMaOTJIn3wuSWKXIIEvFz2O7cIyfczmMdolS8qyK9haNYXhWGUQ/pAlGKXuBA==" saltValue="9ypfHjjAEevbNEZe0yanV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EL PRAT DE LLOBREGAT</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mQ2mdxv2yZ35omX1Zz0VICTAKCRMIvzKWQwGbN/DhG5DmhbMpQDyh60QcjHLXngNoDA/WkB5+LzDWmBLpLPHw==" saltValue="btWFQQfA+YlbbIC7WPSm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EL PRAT DE LLOBREGAT</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1003</v>
      </c>
      <c r="E12" s="404">
        <f t="shared" si="0"/>
        <v>200.6</v>
      </c>
      <c r="F12" s="403">
        <f>IF(ISNUMBER(Datos!N12),Datos!N12," - ")</f>
        <v>697</v>
      </c>
      <c r="G12" s="404">
        <f t="shared" si="1"/>
        <v>139.4</v>
      </c>
      <c r="H12" s="403">
        <f>IF(ISNUMBER(Datos!O12),Datos!O12," - ")</f>
        <v>861</v>
      </c>
      <c r="I12" s="404">
        <f t="shared" si="2"/>
        <v>172.2</v>
      </c>
      <c r="BZ12" s="1186">
        <f>Datos!EZ12</f>
        <v>0</v>
      </c>
    </row>
    <row r="13" spans="1:78" ht="14.25" thickTop="1" thickBot="1">
      <c r="A13" s="848" t="str">
        <f>Datos!A13</f>
        <v>TOTAL</v>
      </c>
      <c r="B13" s="849">
        <f>Datos!AP13</f>
        <v>5</v>
      </c>
      <c r="C13" s="851">
        <f>Datos!AR13</f>
        <v>5</v>
      </c>
      <c r="D13" s="849">
        <f>SUBTOTAL(9,D9:D12)</f>
        <v>1005</v>
      </c>
      <c r="E13" s="850">
        <f t="shared" si="0"/>
        <v>201</v>
      </c>
      <c r="F13" s="849">
        <f>SUBTOTAL(9,F9:F12)</f>
        <v>700</v>
      </c>
      <c r="G13" s="850">
        <f t="shared" si="1"/>
        <v>140</v>
      </c>
      <c r="H13" s="849">
        <f>SUBTOTAL(9,H9:H12)</f>
        <v>861</v>
      </c>
      <c r="I13" s="850">
        <f>IF(ISNUMBER(H13/B13),H13/B13," - ")</f>
        <v>172.2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255</v>
      </c>
      <c r="E16" s="404">
        <f t="shared" si="3"/>
        <v>51</v>
      </c>
      <c r="F16" s="403">
        <f>IF(ISNUMBER(Datos!N16),Datos!N16," - ")</f>
        <v>1585</v>
      </c>
      <c r="G16" s="404">
        <f t="shared" si="4"/>
        <v>317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259</v>
      </c>
      <c r="E18" s="850">
        <f t="shared" si="3"/>
        <v>51.8</v>
      </c>
      <c r="F18" s="849">
        <f>SUBTOTAL(9,F15:F17)</f>
        <v>1603</v>
      </c>
      <c r="G18" s="850">
        <f t="shared" si="4"/>
        <v>320.60000000000002</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1264</v>
      </c>
      <c r="E19" s="795">
        <f>IF(ISNUMBER(D19/B19),D19/B19," - ")</f>
        <v>252.8</v>
      </c>
      <c r="F19" s="794">
        <f>SUBTOTAL(9,F8:F18)</f>
        <v>2303</v>
      </c>
      <c r="G19" s="795">
        <f>IF(ISNUMBER(F19/B19),F19/B19," - ")</f>
        <v>460.6</v>
      </c>
      <c r="H19" s="794">
        <f>SUBTOTAL(9,H8:H18)</f>
        <v>861</v>
      </c>
      <c r="I19" s="795">
        <f>IF(ISNUMBER(H19/B19),H19/B19," - ")</f>
        <v>172.2</v>
      </c>
    </row>
    <row r="22" spans="1:78">
      <c r="A22" s="391" t="str">
        <f>Criterios!A4</f>
        <v>Fecha Informe: 03 jun. 2025</v>
      </c>
    </row>
    <row r="27" spans="1:78">
      <c r="A27" s="414"/>
    </row>
  </sheetData>
  <sheetProtection algorithmName="SHA-512" hashValue="4yy2BgUfFuMPupcp+6uSsvbAYwnvARvrIA6+ytqDEy+z5OVo6fLL9Ae7NNfGF6iTeNJcCOuiVq97e8hYKH+XTg==" saltValue="eYBOgVDTRx4d1EdaXe8I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EL PRAT DE LLOBREGAT</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317</v>
      </c>
      <c r="C12" s="434">
        <f>IF(ISNUMBER(Datos!Q12),Datos!Q12," - ")</f>
        <v>123</v>
      </c>
      <c r="D12" s="408">
        <f>IF(ISNUMBER(Datos!R12),Datos!R12," - ")</f>
        <v>3069</v>
      </c>
    </row>
    <row r="13" spans="1:4" ht="14.25" thickTop="1" thickBot="1">
      <c r="A13" s="848" t="str">
        <f>Datos!A13</f>
        <v>TOTAL</v>
      </c>
      <c r="B13" s="849">
        <f>SUBTOTAL(9,B9:B12)</f>
        <v>317</v>
      </c>
      <c r="C13" s="853">
        <f>SUBTOTAL(9,C9:C12)</f>
        <v>123</v>
      </c>
      <c r="D13" s="851">
        <f>SUBTOTAL(9,D9:D12)</f>
        <v>3091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105</v>
      </c>
      <c r="C16" s="434">
        <f>IF(ISNUMBER(Datos!Q16),Datos!Q16," - ")</f>
        <v>49</v>
      </c>
      <c r="D16" s="408">
        <f>IF(ISNUMBER(Datos!R16),Datos!R16," - ")</f>
        <v>238</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105</v>
      </c>
      <c r="C18" s="853">
        <f>SUBTOTAL(9,C15:C17)</f>
        <v>50</v>
      </c>
      <c r="D18" s="851">
        <f>SUBTOTAL(9,D15:D17)</f>
        <v>238</v>
      </c>
    </row>
    <row r="19" spans="1:4" ht="16.5" customHeight="1" thickTop="1" thickBot="1">
      <c r="A19" s="793" t="str">
        <f>Datos!A19</f>
        <v>TOTAL JURISDICCIONES</v>
      </c>
      <c r="B19" s="798">
        <f>SUBTOTAL(9,B8:B18)</f>
        <v>422</v>
      </c>
      <c r="C19" s="799">
        <f>SUBTOTAL(9,C8:C18)</f>
        <v>173</v>
      </c>
      <c r="D19" s="800">
        <f>SUBTOTAL(9,D8:D18)</f>
        <v>3329</v>
      </c>
    </row>
    <row r="20" spans="1:4" ht="7.5" customHeight="1"/>
    <row r="21" spans="1:4" ht="6" customHeight="1"/>
    <row r="22" spans="1:4">
      <c r="A22" s="391" t="str">
        <f>Criterios!A4</f>
        <v>Fecha Informe: 03 jun. 2025</v>
      </c>
    </row>
    <row r="27" spans="1:4">
      <c r="A27" s="414"/>
    </row>
  </sheetData>
  <sheetProtection algorithmName="SHA-512" hashValue="8XC2MXXRYL9m+LDux/SV9JBAnMIJOVGg/7NHiNfv6Lfcet0KhrhT2tkXlw2/MUNoqkJ4FbtX2iHX56sce9uR0Q==" saltValue="6qQ/ddYCZo+H5yJ5kCACM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EL PRAT DE LLOBREGAT</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3.6363636363636362E-2</v>
      </c>
      <c r="C10" s="456">
        <f>IF(ISNUMBER((Datos!J10-Datos!T10)/Datos!T10),(Datos!J10-Datos!T10)/Datos!T10," - ")</f>
        <v>0.2</v>
      </c>
      <c r="D10" s="456">
        <f>IF(ISNUMBER((Datos!K10-Datos!U10)/Datos!U10),(Datos!K10-Datos!U10)/Datos!U10," - ")</f>
        <v>0.8571428571428571</v>
      </c>
      <c r="E10" s="456">
        <f>IF(ISNUMBER((Datos!L10-Datos!V10)/Datos!V10),(Datos!L10-Datos!V10)/Datos!V10," - ")</f>
        <v>-3.4482758620689655E-2</v>
      </c>
      <c r="F10" s="456">
        <f>IF(ISNUMBER((Datos!M10-Datos!W10)/Datos!W10),(Datos!M10-Datos!W10)/Datos!W10," - ")</f>
        <v>0</v>
      </c>
      <c r="G10" s="457">
        <f>IF(ISNUMBER((Datos!N10-Datos!X10)/Datos!X10),(Datos!N10-Datos!X10)/Datos!X10," - ")</f>
        <v>0.5</v>
      </c>
      <c r="H10" s="455">
        <f>IF(ISNUMBER(((NºAsuntos!G10/NºAsuntos!E10)-Datos!BD10)/Datos!BD10),((NºAsuntos!G10/NºAsuntos!E10)-Datos!BD10)/Datos!BD10," - ")</f>
        <v>0.54761904761904756</v>
      </c>
      <c r="I10" s="456">
        <f>IF(ISNUMBER(((NºAsuntos!I10/NºAsuntos!G10)-Datos!BE10)/Datos!BE10),((NºAsuntos!I10/NºAsuntos!G10)-Datos!BE10)/Datos!BE10," - ")</f>
        <v>-0.48010610079575605</v>
      </c>
      <c r="J10" s="461">
        <f>IF(ISNUMBER((('Resol  Asuntos'!D10/NºAsuntos!G10)-Datos!BF10)/Datos!BF10),(('Resol  Asuntos'!D10/NºAsuntos!G10)-Datos!BF10)/Datos!BF10," - ")</f>
        <v>-0.46153846153846145</v>
      </c>
      <c r="K10" s="462">
        <f>IF(ISNUMBER((((NºAsuntos!C10+NºAsuntos!E10)/NºAsuntos!G10)-Datos!BG10)/Datos!BG10),(((NºAsuntos!C10+NºAsuntos!E10)/NºAsuntos!G10)-Datos!BG10)/Datos!BG10," - ")</f>
        <v>-0.42840236686390537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-1.5391827486522385E-2</v>
      </c>
      <c r="C12" s="456">
        <f>IF(ISNUMBER(
   IF(J_V="SI",(Datos!J12-Datos!T12)/Datos!T12,(Datos!J12+Datos!Z12-(Datos!T12+Datos!AH12))/(Datos!T12+Datos!AH12))
     ),IF(J_V="SI",(Datos!J12-Datos!T12)/Datos!T12,(Datos!J12+Datos!Z12-(Datos!T12+Datos!AH12))/(Datos!T12+Datos!AH12))," - ")</f>
        <v>0.13506395786305492</v>
      </c>
      <c r="D12" s="456">
        <f>IF(ISNUMBER(
   IF(J_V="SI",(Datos!K12-Datos!U12)/Datos!U12,(Datos!K12+Datos!AA12-(Datos!U12+Datos!AI12))/(Datos!U12+Datos!AI12))
     ),IF(J_V="SI",(Datos!K12-Datos!U12)/Datos!U12,(Datos!K12+Datos!AA12-(Datos!U12+Datos!AI12))/(Datos!U12+Datos!AI12))," - ")</f>
        <v>3.1274433150899138E-2</v>
      </c>
      <c r="E12" s="456">
        <f>IF(ISNUMBER(
   IF(J_V="SI",(Datos!L12-Datos!V12)/Datos!V12,(Datos!L12+Datos!AB12-(Datos!V12+Datos!AJ12))/(Datos!V12+Datos!AJ12))
     ),IF(J_V="SI",(Datos!L12-Datos!V12)/Datos!V12,(Datos!L12+Datos!AB12-(Datos!V12+Datos!AJ12))/(Datos!V12+Datos!AJ12))," - ")</f>
        <v>-5.1133734382230449E-2</v>
      </c>
      <c r="F12" s="456">
        <f>IF(ISNUMBER((Datos!M12-Datos!W12)/Datos!W12),(Datos!M12-Datos!W12)/Datos!W12," - ")</f>
        <v>-4.2024832855778411E-2</v>
      </c>
      <c r="G12" s="457">
        <f>IF(ISNUMBER((Datos!N12-Datos!X12)/Datos!X12),(Datos!N12-Datos!X12)/Datos!X12," - ")</f>
        <v>0.4024144869215292</v>
      </c>
      <c r="H12" s="455">
        <f>IF(ISNUMBER(((NºAsuntos!G12/NºAsuntos!E12)-Datos!BD12)/Datos!BD12),((NºAsuntos!G12/NºAsuntos!E12)-Datos!BD12)/Datos!BD12," - ")</f>
        <v>-9.1439362507427915E-2</v>
      </c>
      <c r="I12" s="456">
        <f>IF(ISNUMBER(((NºAsuntos!I12/NºAsuntos!G12)-Datos!BE12)/Datos!BE12),((NºAsuntos!I12/NºAsuntos!G12)-Datos!BE12)/Datos!BE12," - ")</f>
        <v>-7.9909057069653289E-2</v>
      </c>
      <c r="J12" s="461">
        <f>IF(ISNUMBER((('Resol  Asuntos'!D12/NºAsuntos!G12)-Datos!BF12)/Datos!BF12),(('Resol  Asuntos'!D12/NºAsuntos!G12)-Datos!BF12)/Datos!BF12," - ")</f>
        <v>0.95690747975342583</v>
      </c>
      <c r="K12" s="462">
        <f>IF(ISNUMBER((((NºAsuntos!C12+NºAsuntos!E12)/NºAsuntos!G12)-Datos!BG12)/Datos!BG12),(((NºAsuntos!C12+NºAsuntos!E12)/NºAsuntos!G12)-Datos!BG12)/Datos!BG12," - ")</f>
        <v>-2.0163153590559601E-2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-1.5170374980550801E-2</v>
      </c>
      <c r="C13" s="855">
        <f>IF(ISNUMBER(
   IF(J_V="SI",(Datos!J13-Datos!T13)/Datos!T13,(Datos!J13+Datos!Z13-(Datos!T13+Datos!AH13))/(Datos!T13+Datos!AH13))
     ),IF(J_V="SI",(Datos!J13-Datos!T13)/Datos!T13,(Datos!J13+Datos!Z13-(Datos!T13+Datos!AH13))/(Datos!T13+Datos!AH13))," - ")</f>
        <v>0.13530734632683658</v>
      </c>
      <c r="D13" s="855">
        <f>IF(ISNUMBER(
   IF(J_V="SI",(Datos!K13-Datos!U13)/Datos!U13,(Datos!K13+Datos!AA13-(Datos!U13+Datos!AI13))/(Datos!U13+Datos!AI13))
     ),IF(J_V="SI",(Datos!K13-Datos!U13)/Datos!U13,(Datos!K13+Datos!AA13-(Datos!U13+Datos!AI13))/(Datos!U13+Datos!AI13))," - ")</f>
        <v>3.3528265107212477E-2</v>
      </c>
      <c r="E13" s="855">
        <f>IF(ISNUMBER(
   IF(J_V="SI",(Datos!L13-Datos!V13)/Datos!V13,(Datos!L13+Datos!AB13-(Datos!V13+Datos!AJ13))/(Datos!V13+Datos!AJ13))
     ),IF(J_V="SI",(Datos!L13-Datos!V13)/Datos!V13,(Datos!L13+Datos!AB13-(Datos!V13+Datos!AJ13))/(Datos!V13+Datos!AJ13))," - ")</f>
        <v>-5.105958230958231E-2</v>
      </c>
      <c r="F13" s="856">
        <f>IF(ISNUMBER((Datos!M13-Datos!W13)/Datos!W13),(Datos!M13-Datos!W13)/Datos!W13," - ")</f>
        <v>-4.1944709246901808E-2</v>
      </c>
      <c r="G13" s="857">
        <f>IF(ISNUMBER((Datos!N13-Datos!X13)/Datos!X13),(Datos!N13-Datos!X13)/Datos!X13," - ")</f>
        <v>0.4028056112224449</v>
      </c>
      <c r="H13" s="857">
        <f>IF(ISNUMBER(((NºAsuntos!G13/NºAsuntos!E13)-Datos!BD13)/Datos!BD13),((NºAsuntos!G13/NºAsuntos!E13)-Datos!BD13)/Datos!BD13," - ")</f>
        <v>-8.9648923306027486E-2</v>
      </c>
      <c r="I13" s="857">
        <f>IF(ISNUMBER(((NºAsuntos!I13/NºAsuntos!G13)-Datos!BE13)/Datos!BE13),((NºAsuntos!I13/NºAsuntos!G13)-Datos!BE13)/Datos!BE13," - ")</f>
        <v>-8.1843767870267342E-2</v>
      </c>
      <c r="J13" s="857">
        <f>IF(ISNUMBER((('Resol  Asuntos'!D13/NºAsuntos!G13)-Datos!BF13)/Datos!BF13),(('Resol  Asuntos'!D13/NºAsuntos!G13)-Datos!BF13)/Datos!BF13," - ")</f>
        <v>0.94869180080266158</v>
      </c>
      <c r="K13" s="857">
        <f>IF(ISNUMBER((((NºAsuntos!C13+NºAsuntos!E13)/NºAsuntos!G13)-Datos!BG13)/Datos!BG13),(((NºAsuntos!C13+NºAsuntos!E13)/NºAsuntos!G13)-Datos!BG13)/Datos!BG13," - ")</f>
        <v>-2.2093026138148023E-2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0.34392585236676598</v>
      </c>
      <c r="C16" s="456">
        <f>IF(ISNUMBER(
   IF(D_I="SI",(Datos!J16-Datos!T16)/Datos!T16,(Datos!J16+Datos!AD16-(Datos!T16+Datos!AL16))/(Datos!T16+Datos!AL16))
     ),IF(D_I="SI",(Datos!J16-Datos!T16)/Datos!T16,(Datos!J16+Datos!AD16-(Datos!T16+Datos!AL16))/(Datos!T16+Datos!AL16))," - ")</f>
        <v>0.36629406706792778</v>
      </c>
      <c r="D16" s="456">
        <f>IF(ISNUMBER(
   IF(D_I="SI",(Datos!K16-Datos!U16)/Datos!U16,(Datos!K16+Datos!AE16-(Datos!U16+Datos!AM16))/(Datos!U16+Datos!AM16))
     ),IF(D_I="SI",(Datos!K16-Datos!U16)/Datos!U16,(Datos!K16+Datos!AE16-(Datos!U16+Datos!AM16))/(Datos!U16+Datos!AM16))," - ")</f>
        <v>0.42074074074074075</v>
      </c>
      <c r="E16" s="456">
        <f>IF(ISNUMBER(
   IF(D_I="SI",(Datos!L16-Datos!V16)/Datos!V16,(Datos!L16+Datos!AF16-(Datos!V16+Datos!AN16))/(Datos!V16+Datos!AN16))
     ),IF(D_I="SI",(Datos!L16-Datos!V16)/Datos!V16,(Datos!L16+Datos!AF16-(Datos!V16+Datos!AN16))/(Datos!V16+Datos!AN16))," - ")</f>
        <v>0.22325721153846154</v>
      </c>
      <c r="F16" s="456">
        <f>IF(ISNUMBER((Datos!M16-Datos!W16)/Datos!W16),(Datos!M16-Datos!W16)/Datos!W16," - ")</f>
        <v>0.30769230769230771</v>
      </c>
      <c r="G16" s="457">
        <f>IF(ISNUMBER((Datos!N16-Datos!X16)/Datos!X16),(Datos!N16-Datos!X16)/Datos!X16," - ")</f>
        <v>0.29071661237785018</v>
      </c>
      <c r="H16" s="455">
        <f>IF(ISNUMBER(((NºAsuntos!G16/NºAsuntos!E16)-Datos!BD16)/Datos!BD16),((NºAsuntos!G16/NºAsuntos!E16)-Datos!BD16)/Datos!BD16," - ")</f>
        <v>3.9849893946810322E-2</v>
      </c>
      <c r="I16" s="456">
        <f>IF(ISNUMBER(((NºAsuntos!I16/NºAsuntos!G16)-Datos!BE16)/Datos!BE16),((NºAsuntos!I16/NºAsuntos!G16)-Datos!BE16)/Datos!BE16," - ")</f>
        <v>-0.13900039855217775</v>
      </c>
      <c r="J16" s="461">
        <f>IF(ISNUMBER((('Resol  Asuntos'!D16/NºAsuntos!G16)-Datos!BF16)/Datos!BF16),(('Resol  Asuntos'!D16/NºAsuntos!G16)-Datos!BF16)/Datos!BF16," - ")</f>
        <v>-7.9570064971524801E-2</v>
      </c>
      <c r="K16" s="462">
        <f>IF(ISNUMBER((((NºAsuntos!C16+NºAsuntos!E16)/NºAsuntos!G16)-Datos!BG16)/Datos!BG16),(((NºAsuntos!C16+NºAsuntos!E16)/NºAsuntos!G16)-Datos!BG16)/Datos!BG16," - ")</f>
        <v>-4.7217963821721436E-2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1.8867924528301886E-2</v>
      </c>
      <c r="C17" s="456">
        <f>IF(ISNUMBER(
   IF(D_I="SI",(Datos!J17-Datos!T17)/Datos!T17,(Datos!J17+Datos!AD17-(Datos!T17+Datos!AL17))/(Datos!T17+Datos!AL17))
     ),IF(D_I="SI",(Datos!J17-Datos!T17)/Datos!T17,(Datos!J17+Datos!AD17-(Datos!T17+Datos!AL17))/(Datos!T17+Datos!AL17))," - ")</f>
        <v>0.11688311688311688</v>
      </c>
      <c r="D17" s="456">
        <f>IF(ISNUMBER(
   IF(D_I="SI",(Datos!K17-Datos!U17)/Datos!U17,(Datos!K17+Datos!AE17-(Datos!U17+Datos!AM17))/(Datos!U17+Datos!AM17))
     ),IF(D_I="SI",(Datos!K17-Datos!U17)/Datos!U17,(Datos!K17+Datos!AE17-(Datos!U17+Datos!AM17))/(Datos!U17+Datos!AM17))," - ")</f>
        <v>0.36619718309859156</v>
      </c>
      <c r="E17" s="456">
        <f>IF(ISNUMBER(
   IF(D_I="SI",(Datos!L17-Datos!V17)/Datos!V17,(Datos!L17+Datos!AF17-(Datos!V17+Datos!AN17))/(Datos!V17+Datos!AN17))
     ),IF(D_I="SI",(Datos!L17-Datos!V17)/Datos!V17,(Datos!L17+Datos!AF17-(Datos!V17+Datos!AN17))/(Datos!V17+Datos!AN17))," - ")</f>
        <v>-0.38392857142857145</v>
      </c>
      <c r="F17" s="456">
        <f>IF(ISNUMBER((Datos!M17-Datos!W17)/Datos!W17),(Datos!M17-Datos!W17)/Datos!W17," - ")</f>
        <v>0.33333333333333331</v>
      </c>
      <c r="G17" s="457">
        <f>IF(ISNUMBER((Datos!N17-Datos!X17)/Datos!X17),(Datos!N17-Datos!X17)/Datos!X17," - ")</f>
        <v>-0.33333333333333331</v>
      </c>
      <c r="H17" s="455">
        <f>IF(ISNUMBER(((NºAsuntos!G17/NºAsuntos!E17)-Datos!BD17)/Datos!BD17),((NºAsuntos!G17/NºAsuntos!E17)-Datos!BD17)/Datos!BD17," - ")</f>
        <v>0.22322305928594829</v>
      </c>
      <c r="I17" s="456">
        <f>IF(ISNUMBER(((NºAsuntos!I17/NºAsuntos!G17)-Datos!BE17)/Datos!BE17),((NºAsuntos!I17/NºAsuntos!G17)-Datos!BE17)/Datos!BE17," - ")</f>
        <v>-0.54906111929307799</v>
      </c>
      <c r="J17" s="461">
        <f>IF(ISNUMBER((('Resol  Asuntos'!D17/NºAsuntos!G17)-Datos!BF17)/Datos!BF17),(('Resol  Asuntos'!D17/NºAsuntos!G17)-Datos!BF17)/Datos!BF17," - ")</f>
        <v>-2.4054982817869417E-2</v>
      </c>
      <c r="K17" s="462">
        <f>IF(ISNUMBER((((NºAsuntos!C17+NºAsuntos!E17)/NºAsuntos!G17)-Datos!BG17)/Datos!BG17),(((NºAsuntos!C17+NºAsuntos!E17)/NºAsuntos!G17)-Datos!BG17)/Datos!BG17," - ")</f>
        <v>-0.22404371584699456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0.33290693955868245</v>
      </c>
      <c r="C18" s="855">
        <f>IF(ISNUMBER(
   IF(Criterios!B14="SI",(Datos!J18-Datos!T18)/Datos!T18,(Datos!J18+Datos!AD18-(Datos!T18+Datos!AL18))/(Datos!T18+Datos!AL18))
     ),IF(Criterios!B14="SI",(Datos!J18-Datos!T18)/Datos!T18,(Datos!J18+Datos!AD18-(Datos!T18+Datos!AL18))/(Datos!T18+Datos!AL18))," - ")</f>
        <v>0.35830212234706615</v>
      </c>
      <c r="D18" s="855">
        <f>IF(ISNUMBER(
   IF(Criterios!B14="SI",(Datos!K18-Datos!U18)/Datos!U18,(Datos!K18+Datos!AE18-(Datos!U18+Datos!AM18))/(Datos!U18+Datos!AM18))
     ),IF(Criterios!B14="SI",(Datos!K18-Datos!U18)/Datos!U18,(Datos!K18+Datos!AE18-(Datos!U18+Datos!AM18))/(Datos!U18+Datos!AM18))," - ")</f>
        <v>0.41889312977099236</v>
      </c>
      <c r="E18" s="855">
        <f>IF(ISNUMBER(
   IF(Criterios!B14="SI",(Datos!L18-Datos!V18)/Datos!V18,(Datos!L18+Datos!AF18-(Datos!V18+Datos!AN18))/(Datos!V18+Datos!AN18))
     ),IF(Criterios!B14="SI",(Datos!L18-Datos!V18)/Datos!V18,(Datos!L18+Datos!AF18-(Datos!V18+Datos!AN18))/(Datos!V18+Datos!AN18))," - ")</f>
        <v>0.20348837209302326</v>
      </c>
      <c r="F18" s="856">
        <f>IF(ISNUMBER((Datos!M18-Datos!W18)/Datos!W18),(Datos!M18-Datos!W18)/Datos!W18," - ")</f>
        <v>0.30808080808080807</v>
      </c>
      <c r="G18" s="857">
        <f>IF(ISNUMBER((Datos!N18-Datos!X18)/Datos!X18),(Datos!N18-Datos!X18)/Datos!X18," - ")</f>
        <v>0.27729083665338644</v>
      </c>
      <c r="H18" s="857">
        <f>IF(ISNUMBER(((NºAsuntos!G18/NºAsuntos!E18)-Datos!BD18)/Datos!BD18),((NºAsuntos!G18/NºAsuntos!E18)-Datos!BD18)/Datos!BD18," - ")</f>
        <v>4.4607901605298608E-2</v>
      </c>
      <c r="I18" s="857">
        <f>IF(ISNUMBER(((NºAsuntos!I18/NºAsuntos!G18)-Datos!BE18)/Datos!BE18),((NºAsuntos!I18/NºAsuntos!G18)-Datos!BE18)/Datos!BE18," - ")</f>
        <v>-0.15181182652758007</v>
      </c>
      <c r="J18" s="857">
        <f>IF(ISNUMBER((('Resol  Asuntos'!D18/NºAsuntos!G18)-Datos!BF18)/Datos!BF18),(('Resol  Asuntos'!D18/NºAsuntos!G18)-Datos!BF18)/Datos!BF18," - ")</f>
        <v>-7.8097722347890475E-2</v>
      </c>
      <c r="K18" s="857">
        <f>IF(ISNUMBER((((NºAsuntos!C18+NºAsuntos!E18)/NºAsuntos!G18)-Datos!BG18)/Datos!BG18),(((NºAsuntos!C18+NºAsuntos!E18)/NºAsuntos!G18)-Datos!BG18)/Datos!BG18," - ")</f>
        <v>-5.2823566752724954E-2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5.2937863713159374E-2</v>
      </c>
      <c r="C19" s="802">
        <f>IF(ISNUMBER(
   IF(J_V="SI",(Datos!J19-Datos!T19)/Datos!T19,(Datos!J19+Datos!Z19-(Datos!T19+Datos!AH19))/(Datos!T19+Datos!AH19))
     ),IF(J_V="SI",(Datos!J19-Datos!T19)/Datos!T19,(Datos!J19+Datos!Z19-(Datos!T19+Datos!AH19))/(Datos!T19+Datos!AH19))," - ")</f>
        <v>0.24097811082626699</v>
      </c>
      <c r="D19" s="802">
        <f>IF(ISNUMBER(
   IF(J_V="SI",(Datos!K19-Datos!U19)/Datos!U19,(Datos!K19+Datos!AA19-(Datos!U19+Datos!AI19))/(Datos!U19+Datos!AI19))
     ),IF(J_V="SI",(Datos!K19-Datos!U19)/Datos!U19,(Datos!K19+Datos!AA19-(Datos!U19+Datos!AI19))/(Datos!U19+Datos!AI19))," - ")</f>
        <v>0.20682257026389186</v>
      </c>
      <c r="E19" s="802">
        <f>IF(ISNUMBER(
   IF(J_V="SI",(Datos!L19-Datos!V19)/Datos!V19,(Datos!L19+Datos!AB19-(Datos!V19+Datos!AJ19))/(Datos!V19+Datos!AJ19))
     ),IF(J_V="SI",(Datos!L19-Datos!V19)/Datos!V19,(Datos!L19+Datos!AB19-(Datos!V19+Datos!AJ19))/(Datos!V19+Datos!AJ19))," - ")</f>
        <v>2.1258503401360546E-3</v>
      </c>
      <c r="F19" s="803">
        <f>IF(ISNUMBER((Datos!M19-Datos!W19)/Datos!W19),(Datos!M19-Datos!W19)/Datos!W19," - ")</f>
        <v>1.3632718524458701E-2</v>
      </c>
      <c r="G19" s="804">
        <f>IF(ISNUMBER((Datos!N19-Datos!X19)/Datos!X19),(Datos!N19-Datos!X19)/Datos!X19," - ")</f>
        <v>0.31299885974914482</v>
      </c>
      <c r="H19" s="805">
        <f>IF(ISNUMBER((Tasas!B19-Datos!BD19)/Datos!BD19),(Tasas!B19-Datos!BD19)/Datos!BD19," - ")</f>
        <v>-2.7523080596186966E-2</v>
      </c>
      <c r="I19" s="806">
        <f>IF(ISNUMBER((Tasas!C19-Datos!BE19)/Datos!BE19),(Tasas!C19-Datos!BE19)/Datos!BE19," - ")</f>
        <v>-0.16961625094482236</v>
      </c>
      <c r="J19" s="807">
        <f>IF(ISNUMBER((Tasas!D19-Datos!BF19)/Datos!BF19),(Tasas!D19-Datos!BF19)/Datos!BF19," - ")</f>
        <v>0.50269510600988365</v>
      </c>
      <c r="K19" s="807">
        <f>IF(ISNUMBER((Tasas!E19-Datos!BG19)/Datos!BG19),(Tasas!E19-Datos!BG19)/Datos!BG19," - ")</f>
        <v>-8.9979774948804048E-2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d3eEeD9w1p9hoEH4G89bZUvp4o9jl6xoqXjipx0Jo3doruRfuDwHFAuvvM/VRsnYZLg/lD/HHThXJcTy7bDqw==" saltValue="+sV1HHn+nVupY7TMNkcyd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EL PRAT DE LLOBREGAT</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1.0833333333333333</v>
      </c>
      <c r="C10" s="443">
        <f>IF(ISNUMBER(NºAsuntos!I10/NºAsuntos!G10),NºAsuntos!I10/NºAsuntos!G10," - ")</f>
        <v>4.3076923076923075</v>
      </c>
      <c r="D10" s="444">
        <f>IF(ISNUMBER('Resol  Asuntos'!D10/NºAsuntos!G10),'Resol  Asuntos'!D10/NºAsuntos!G10," - ")</f>
        <v>0.15384615384615385</v>
      </c>
      <c r="E10" s="445">
        <f>IF(ISNUMBER((NºAsuntos!C10+NºAsuntos!E10)/NºAsuntos!G10),(NºAsuntos!C10+NºAsuntos!E10)/NºAsuntos!G10," - ")</f>
        <v>5.3076923076923075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0.87437852171030828</v>
      </c>
      <c r="C12" s="443">
        <f>IF(ISNUMBER(NºAsuntos!I12/NºAsuntos!G12),NºAsuntos!I12/NºAsuntos!G12," - ")</f>
        <v>4.6637604245640638</v>
      </c>
      <c r="D12" s="444">
        <f>IF(ISNUMBER('Resol  Asuntos'!D12/NºAsuntos!G12),'Resol  Asuntos'!D12/NºAsuntos!G12," - ")</f>
        <v>0.38021228203184232</v>
      </c>
      <c r="E12" s="445">
        <f>IF(ISNUMBER((NºAsuntos!C12+NºAsuntos!E12)/NºAsuntos!G12),(NºAsuntos!C12+NºAsuntos!E12)/NºAsuntos!G12," - ")</f>
        <v>5.9207733131159967</v>
      </c>
      <c r="G12" s="463"/>
    </row>
    <row r="13" spans="1:7" ht="14.25" thickTop="1" thickBot="1">
      <c r="A13" s="848" t="str">
        <f>Datos!A13</f>
        <v>TOTAL</v>
      </c>
      <c r="B13" s="858">
        <f>IF(ISNUMBER(NºAsuntos!G13/NºAsuntos!E13),NºAsuntos!G13/NºAsuntos!E13," - ")</f>
        <v>0.87520633872565201</v>
      </c>
      <c r="C13" s="859">
        <f>IF(ISNUMBER(NºAsuntos!I13/NºAsuntos!G13),NºAsuntos!I13/NºAsuntos!G13," - ")</f>
        <v>4.6620143342135041</v>
      </c>
      <c r="D13" s="860">
        <f>IF(ISNUMBER('Resol  Asuntos'!D13/NºAsuntos!G13),'Resol  Asuntos'!D13/NºAsuntos!G13," - ")</f>
        <v>0.37910222557525464</v>
      </c>
      <c r="E13" s="861">
        <f>IF(ISNUMBER((NºAsuntos!C13+NºAsuntos!E13)/NºAsuntos!G13),(NºAsuntos!C13+NºAsuntos!E13)/NºAsuntos!G13," - ")</f>
        <v>5.9177668804224819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0.90528634361233484</v>
      </c>
      <c r="C16" s="443">
        <f>IF(ISNUMBER(NºAsuntos!I16/NºAsuntos!G16),NºAsuntos!I16/NºAsuntos!G16," - ")</f>
        <v>1.4150156412930135</v>
      </c>
      <c r="D16" s="444">
        <f>IF(ISNUMBER('Resol  Asuntos'!D16/NºAsuntos!G16),'Resol  Asuntos'!D16/NºAsuntos!G16," - ")</f>
        <v>8.8633993743482797E-2</v>
      </c>
      <c r="E16" s="445">
        <f>IF(ISNUMBER((NºAsuntos!C16+NºAsuntos!E16)/NºAsuntos!G16),(NºAsuntos!C16+NºAsuntos!E16)/NºAsuntos!G16," - ")</f>
        <v>2.5158150851581507</v>
      </c>
      <c r="G16" s="463"/>
    </row>
    <row r="17" spans="1:7" ht="13.5" thickBot="1">
      <c r="A17" s="402" t="str">
        <f>Datos!A17</f>
        <v>Jdos. Violencia contra la mujer</v>
      </c>
      <c r="B17" s="442">
        <f>IF(ISNUMBER(NºAsuntos!G17/NºAsuntos!E17),NºAsuntos!G17/NºAsuntos!E17," - ")</f>
        <v>1.1279069767441861</v>
      </c>
      <c r="C17" s="443">
        <f>IF(ISNUMBER(NºAsuntos!I17/NºAsuntos!G17),NºAsuntos!I17/NºAsuntos!G17," - ")</f>
        <v>0.71134020618556704</v>
      </c>
      <c r="D17" s="444">
        <f>IF(ISNUMBER('Resol  Asuntos'!D17/NºAsuntos!G17),'Resol  Asuntos'!D17/NºAsuntos!G17," - ")</f>
        <v>4.1237113402061855E-2</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0.91115196078431371</v>
      </c>
      <c r="C18" s="859">
        <f>IF(ISNUMBER(NºAsuntos!I18/NºAsuntos!G18),NºAsuntos!I18/NºAsuntos!G18," - ")</f>
        <v>1.3920645595158037</v>
      </c>
      <c r="D18" s="862">
        <f>IF(ISNUMBER('Resol  Asuntos'!D18/NºAsuntos!G18),'Resol  Asuntos'!D18/NºAsuntos!G18," - ")</f>
        <v>8.708809683927371E-2</v>
      </c>
      <c r="E18" s="861">
        <f>IF(ISNUMBER((NºAsuntos!C18+NºAsuntos!E18)/NºAsuntos!G18),(NºAsuntos!C18+NºAsuntos!E18)/NºAsuntos!G18," - ")</f>
        <v>2.4989912575655682</v>
      </c>
      <c r="G18" s="463"/>
    </row>
    <row r="19" spans="1:7" ht="15.75" customHeight="1" thickTop="1" thickBot="1">
      <c r="A19" s="793" t="str">
        <f>Datos!A19</f>
        <v>TOTAL JURISDICCIONES</v>
      </c>
      <c r="B19" s="808">
        <f>IF(ISNUMBER(NºAsuntos!G19/NºAsuntos!E19),NºAsuntos!G19/NºAsuntos!E19," - ")</f>
        <v>0.89385030986810743</v>
      </c>
      <c r="C19" s="809">
        <f>IF(ISNUMBER(NºAsuntos!I19/NºAsuntos!G19),NºAsuntos!I19/NºAsuntos!G19," - ")</f>
        <v>2.9331555555555555</v>
      </c>
      <c r="D19" s="810">
        <f>IF(ISNUMBER('Resol  Asuntos'!D19/NºAsuntos!G19),'Resol  Asuntos'!D19/NºAsuntos!G19," - ")</f>
        <v>0.22471111111111111</v>
      </c>
      <c r="E19" s="811">
        <f>IF(ISNUMBER((NºAsuntos!C19+NºAsuntos!E19)/NºAsuntos!G19),(NºAsuntos!C19+NºAsuntos!E19)/NºAsuntos!G19," - ")</f>
        <v>4.1102222222222222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VcuyhJ/Rz8pN39BbXD0Fbm1MKn3E1z2/3mrLg1K/RcLTeALICbzcxIG0e6+GrcQWTlay+rujffA4h1LC47JoA==" saltValue="J+PjMB/+lrJWXNDPNlc0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EL PRAT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57</v>
      </c>
      <c r="G10" s="333">
        <f>IF(ISNUMBER(Datos!I10),Datos!I10," - ")</f>
        <v>57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v>
      </c>
      <c r="X10" s="226">
        <f>IF(ISNUMBER(Datos!Q10),Datos!Q10," - ")</f>
        <v>0</v>
      </c>
      <c r="Y10" s="334">
        <f t="shared" ref="Y10:Y12" si="0">SUM(W10:X10)</f>
        <v>13</v>
      </c>
      <c r="Z10" s="335" t="str">
        <f>IF(ISNUMBER(Datos!CC10),Datos!CC10," - ")</f>
        <v xml:space="preserve"> - </v>
      </c>
      <c r="AA10" s="332">
        <f>IF(ISNUMBER(Datos!L10),Datos!L10,"-")</f>
        <v>56</v>
      </c>
      <c r="AB10" s="334">
        <f>IF(ISNUMBER(Datos!R10),Datos!R10," - ")</f>
        <v>22</v>
      </c>
      <c r="AC10" s="334">
        <f t="shared" ref="AC10:AC12" si="1">IF(ISNUMBER(AA10+AB10),AA10+AB10," - ")</f>
        <v>78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1.0833333333333333</v>
      </c>
      <c r="AM10" s="260">
        <f>IF(ISNUMBER(((NºAsuntos!I10/NºAsuntos!G10)*11)/factor_trimestre),((NºAsuntos!I10/NºAsuntos!G10)*11)/factor_trimestre," - ")</f>
        <v>12.923076923076922</v>
      </c>
      <c r="AN10" s="244">
        <f>IF(ISNUMBER('Resol  Asuntos'!D10/NºAsuntos!G10),'Resol  Asuntos'!D10/NºAsuntos!G10," - ")</f>
        <v>0.15384615384615385</v>
      </c>
      <c r="AO10" s="245">
        <f>IF(ISNUMBER((NºAsuntos!C10+NºAsuntos!E10)/NºAsuntos!G10),(NºAsuntos!C10+NºAsuntos!E10)/NºAsuntos!G10," - ")</f>
        <v>5.3076923076923075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123</v>
      </c>
      <c r="Y12" s="334">
        <f t="shared" si="0"/>
        <v>123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3069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1003</v>
      </c>
      <c r="AJ12" s="229" t="str">
        <f>IF(ISNUMBER(Datos!BW12),Datos!BW12," - ")</f>
        <v xml:space="preserve"> - </v>
      </c>
      <c r="AK12" s="228" t="str">
        <f>IF(ISNUMBER(Datos!BX12),Datos!BX12," - ")</f>
        <v xml:space="preserve"> - </v>
      </c>
      <c r="AL12" s="243">
        <f>IF(ISNUMBER(NºAsuntos!G12/NºAsuntos!E12),NºAsuntos!G12/NºAsuntos!E12," - ")</f>
        <v>0.87437852171030828</v>
      </c>
      <c r="AM12" s="260">
        <f>IF(ISNUMBER(((NºAsuntos!I12/NºAsuntos!G12)*11)/factor_trimestre),((NºAsuntos!I12/NºAsuntos!G12)*11)/factor_trimestre," - ")</f>
        <v>13.991281273692193</v>
      </c>
      <c r="AN12" s="244">
        <f>IF(ISNUMBER('Resol  Asuntos'!D12/NºAsuntos!G12),'Resol  Asuntos'!D12/NºAsuntos!G12," - ")</f>
        <v>0.38021228203184232</v>
      </c>
      <c r="AO12" s="245">
        <f>IF(ISNUMBER((NºAsuntos!C12+NºAsuntos!E12)/NºAsuntos!G12),(NºAsuntos!C12+NºAsuntos!E12)/NºAsuntos!G12," - ")</f>
        <v>5.9207733131159967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57</v>
      </c>
      <c r="G13" s="866">
        <f t="shared" si="3"/>
        <v>57</v>
      </c>
      <c r="H13" s="865">
        <f t="shared" si="3"/>
        <v>0</v>
      </c>
      <c r="I13" s="867">
        <f t="shared" si="3"/>
        <v>0</v>
      </c>
      <c r="J13" s="867">
        <f t="shared" si="3"/>
        <v>0</v>
      </c>
      <c r="K13" s="867">
        <f t="shared" si="3"/>
        <v>0</v>
      </c>
      <c r="L13" s="867">
        <f t="shared" si="3"/>
        <v>317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v>
      </c>
      <c r="X13" s="867">
        <f t="shared" si="4"/>
        <v>123</v>
      </c>
      <c r="Y13" s="868">
        <f t="shared" si="4"/>
        <v>136</v>
      </c>
      <c r="Z13" s="868">
        <f t="shared" si="4"/>
        <v>0</v>
      </c>
      <c r="AA13" s="868">
        <f t="shared" si="4"/>
        <v>56</v>
      </c>
      <c r="AB13" s="868">
        <f t="shared" si="4"/>
        <v>3091</v>
      </c>
      <c r="AC13" s="868">
        <f t="shared" si="4"/>
        <v>78</v>
      </c>
      <c r="AD13" s="868">
        <f t="shared" si="4"/>
        <v>0</v>
      </c>
      <c r="AE13" s="872">
        <f t="shared" si="4"/>
        <v>0</v>
      </c>
      <c r="AF13" s="865">
        <f t="shared" si="4"/>
        <v>0</v>
      </c>
      <c r="AG13" s="873">
        <f t="shared" si="4"/>
        <v>0</v>
      </c>
      <c r="AH13" s="870">
        <f t="shared" si="4"/>
        <v>0</v>
      </c>
      <c r="AI13" s="865">
        <f t="shared" si="4"/>
        <v>1005</v>
      </c>
      <c r="AJ13" s="867">
        <f t="shared" si="4"/>
        <v>0</v>
      </c>
      <c r="AK13" s="870">
        <f>SUBTOTAL(9,AK9:AK12)</f>
        <v>0</v>
      </c>
      <c r="AL13" s="874">
        <f>IF(ISNUMBER(NºAsuntos!G13/NºAsuntos!E13),NºAsuntos!G13/NºAsuntos!E13," - ")</f>
        <v>0.87520633872565201</v>
      </c>
      <c r="AM13" s="874">
        <f>IF(ISNUMBER(((NºAsuntos!I13/NºAsuntos!G13)*11)/factor_trimestre),((NºAsuntos!I13/NºAsuntos!G13)*11)/factor_trimestre," - ")</f>
        <v>13.986043002640514</v>
      </c>
      <c r="AN13" s="875">
        <f>IF(ISNUMBER('Resol  Asuntos'!D13/NºAsuntos!G13),'Resol  Asuntos'!D13/NºAsuntos!G13," - ")</f>
        <v>0.37910222557525464</v>
      </c>
      <c r="AO13" s="876">
        <f>IF(ISNUMBER((NºAsuntos!C13+NºAsuntos!E13)/NºAsuntos!G13),(NºAsuntos!C13+NºAsuntos!E13)/NºAsuntos!G13," - ")</f>
        <v>5.9177668804224819</v>
      </c>
      <c r="AP13" s="877" t="str">
        <f t="shared" si="2"/>
        <v xml:space="preserve"> - </v>
      </c>
      <c r="AQ13" s="877">
        <f>IF(ISNUMBER((H13-W13+K13)/(F13)),(H13-W13+K13)/(F13)," - ")</f>
        <v>-0.22807017543859648</v>
      </c>
      <c r="AR13" s="878">
        <f>IF(ISNUMBER((Datos!P13-Datos!Q13)/(Datos!R13-Datos!P13+Datos!Q13)),(Datos!P13-Datos!Q13)/(Datos!R13-Datos!P13+Datos!Q13)," - ")</f>
        <v>6.6965826717293758E-2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3770</v>
      </c>
      <c r="G16" s="333">
        <f>IF(ISNUMBER(IF(D_I="SI",Datos!I16,Datos!I16+Datos!AC16)),IF(D_I="SI",Datos!I16,Datos!I16+Datos!AC16)," - ")</f>
        <v>4060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2877</v>
      </c>
      <c r="X16" s="226">
        <f>IF(ISNUMBER(Datos!Q16),Datos!Q16," - ")</f>
        <v>49</v>
      </c>
      <c r="Y16" s="334">
        <f t="shared" ref="Y16:Y17" si="7">SUM(W16:X16)</f>
        <v>2926</v>
      </c>
      <c r="Z16" s="335" t="str">
        <f>IF(ISNUMBER(Datos!CC16),Datos!CC16," - ")</f>
        <v xml:space="preserve"> - </v>
      </c>
      <c r="AA16" s="332">
        <f>IF(ISNUMBER(IF(D_I="SI",Datos!L16,Datos!L16+Datos!AF16)),IF(D_I="SI",Datos!L16,Datos!L16+Datos!AF16)," - ")</f>
        <v>4071</v>
      </c>
      <c r="AB16" s="334">
        <f>IF(ISNUMBER(Datos!R16),Datos!R16," - ")</f>
        <v>238</v>
      </c>
      <c r="AC16" s="334">
        <f t="shared" si="6"/>
        <v>4309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255</v>
      </c>
      <c r="AJ16" s="231" t="str">
        <f>IF(ISNUMBER(Datos!BW16),Datos!BW16," - ")</f>
        <v xml:space="preserve"> - </v>
      </c>
      <c r="AK16" s="232" t="str">
        <f>IF(ISNUMBER(Datos!BX16),Datos!BX16," - ")</f>
        <v xml:space="preserve"> - </v>
      </c>
      <c r="AL16" s="243">
        <f>IF(ISNUMBER(NºAsuntos!G16/NºAsuntos!E16),NºAsuntos!G16/NºAsuntos!E16," - ")</f>
        <v>0.90528634361233484</v>
      </c>
      <c r="AM16" s="260">
        <f>IF(ISNUMBER(((NºAsuntos!I16/NºAsuntos!G16)*11)/factor_trimestre),((NºAsuntos!I16/NºAsuntos!G16)*11)/factor_trimestre," - ")</f>
        <v>4.2450469238790411</v>
      </c>
      <c r="AN16" s="244">
        <f>IF(ISNUMBER('Resol  Asuntos'!D16/NºAsuntos!G16),'Resol  Asuntos'!D16/NºAsuntos!G16," - ")</f>
        <v>8.8633993743482797E-2</v>
      </c>
      <c r="AO16" s="245">
        <f>IF(ISNUMBER((NºAsuntos!C16+NºAsuntos!E16)/NºAsuntos!G16),(NºAsuntos!C16+NºAsuntos!E16)/NºAsuntos!G16," - ")</f>
        <v>2.5158150851581507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97</v>
      </c>
      <c r="X17" s="226">
        <f>IF(ISNUMBER(Datos!Q17),Datos!Q17," - ")</f>
        <v>1</v>
      </c>
      <c r="Y17" s="334">
        <f t="shared" si="7"/>
        <v>98</v>
      </c>
      <c r="Z17" s="335" t="str">
        <f>IF(ISNUMBER(Datos!CC17),Datos!CC17," - ")</f>
        <v xml:space="preserve"> - </v>
      </c>
      <c r="AA17" s="332">
        <f>IF(ISNUMBER(Datos!L17),Datos!L17,"-")</f>
        <v>69</v>
      </c>
      <c r="AB17" s="334">
        <f>IF(ISNUMBER(Datos!R17),Datos!R17," - ")</f>
        <v>0</v>
      </c>
      <c r="AC17" s="334">
        <f t="shared" si="6"/>
        <v>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1.1279069767441861</v>
      </c>
      <c r="AM17" s="260">
        <f>IF(ISNUMBER(((NºAsuntos!I17/NºAsuntos!G17)*11)/factor_trimestre),((NºAsuntos!I17/NºAsuntos!G17)*11)/factor_trimestre," - ")</f>
        <v>2.1340206185567014</v>
      </c>
      <c r="AN17" s="244">
        <f>IF(ISNUMBER('Resol  Asuntos'!D17/NºAsuntos!G17),'Resol  Asuntos'!D17/NºAsuntos!G17," - ")</f>
        <v>4.1237113402061855E-2</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3770</v>
      </c>
      <c r="G18" s="866">
        <f>SUBTOTAL(9,G15:G17)</f>
        <v>4168</v>
      </c>
      <c r="H18" s="865">
        <f t="shared" ref="H18:O18" si="10">SUBTOTAL(9,H14:H17)</f>
        <v>0</v>
      </c>
      <c r="I18" s="867">
        <f t="shared" si="10"/>
        <v>0</v>
      </c>
      <c r="J18" s="867">
        <f t="shared" si="10"/>
        <v>0</v>
      </c>
      <c r="K18" s="867">
        <f t="shared" si="10"/>
        <v>0</v>
      </c>
      <c r="L18" s="867">
        <f t="shared" si="10"/>
        <v>105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2974</v>
      </c>
      <c r="X18" s="867">
        <f t="shared" si="11"/>
        <v>50</v>
      </c>
      <c r="Y18" s="868">
        <f t="shared" si="11"/>
        <v>3024</v>
      </c>
      <c r="Z18" s="868">
        <f t="shared" si="11"/>
        <v>0</v>
      </c>
      <c r="AA18" s="868">
        <f t="shared" si="11"/>
        <v>4140</v>
      </c>
      <c r="AB18" s="868">
        <f t="shared" si="11"/>
        <v>238</v>
      </c>
      <c r="AC18" s="868">
        <f t="shared" si="11"/>
        <v>4378</v>
      </c>
      <c r="AD18" s="868">
        <f t="shared" si="11"/>
        <v>0</v>
      </c>
      <c r="AE18" s="872">
        <f t="shared" si="11"/>
        <v>0</v>
      </c>
      <c r="AF18" s="865">
        <f t="shared" si="11"/>
        <v>0</v>
      </c>
      <c r="AG18" s="873">
        <f t="shared" si="11"/>
        <v>0</v>
      </c>
      <c r="AH18" s="870">
        <f t="shared" si="11"/>
        <v>0</v>
      </c>
      <c r="AI18" s="865">
        <f t="shared" si="11"/>
        <v>259</v>
      </c>
      <c r="AJ18" s="867">
        <f t="shared" si="11"/>
        <v>0</v>
      </c>
      <c r="AK18" s="870">
        <f t="shared" si="11"/>
        <v>0</v>
      </c>
      <c r="AL18" s="874">
        <f>IF(ISNUMBER(NºAsuntos!G18/NºAsuntos!E18),NºAsuntos!G18/NºAsuntos!E18," - ")</f>
        <v>0.91115196078431371</v>
      </c>
      <c r="AM18" s="874">
        <f>IF(ISNUMBER(((NºAsuntos!I18/NºAsuntos!G18)*11)/factor_trimestre),((NºAsuntos!I18/NºAsuntos!G18)*11)/factor_trimestre," - ")</f>
        <v>4.1761936785474116</v>
      </c>
      <c r="AN18" s="875">
        <f>IF(ISNUMBER('Resol  Asuntos'!D18/NºAsuntos!G18),'Resol  Asuntos'!D18/NºAsuntos!G18," - ")</f>
        <v>8.708809683927371E-2</v>
      </c>
      <c r="AO18" s="876">
        <f>IF(ISNUMBER((NºAsuntos!C18+NºAsuntos!E18)/NºAsuntos!G18),(NºAsuntos!C18+NºAsuntos!E18)/NºAsuntos!G18," - ")</f>
        <v>2.4989912575655682</v>
      </c>
      <c r="AP18" s="877" t="str">
        <f t="shared" si="2"/>
        <v xml:space="preserve"> - </v>
      </c>
      <c r="AQ18" s="877">
        <f>IF(ISNUMBER((H18-W18+K18)/(F18)),(H18-W18+K18)/(F18)," - ")</f>
        <v>-0.7888594164456233</v>
      </c>
      <c r="AR18" s="878">
        <f>IF(ISNUMBER((Datos!P18-Datos!Q18)/(Datos!R18-Datos!P18+Datos!Q18)),(Datos!P18-Datos!Q18)/(Datos!R18-Datos!P18+Datos!Q18)," - ")</f>
        <v>0.30054644808743169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3827</v>
      </c>
      <c r="G19" s="821">
        <f t="shared" si="13"/>
        <v>4225</v>
      </c>
      <c r="H19" s="820">
        <f t="shared" si="13"/>
        <v>0</v>
      </c>
      <c r="I19" s="822">
        <f t="shared" si="13"/>
        <v>0</v>
      </c>
      <c r="J19" s="822">
        <f t="shared" si="13"/>
        <v>0</v>
      </c>
      <c r="K19" s="881">
        <f t="shared" si="13"/>
        <v>0</v>
      </c>
      <c r="L19" s="822">
        <f t="shared" si="13"/>
        <v>422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2987</v>
      </c>
      <c r="X19" s="821">
        <f t="shared" si="14"/>
        <v>173</v>
      </c>
      <c r="Y19" s="828">
        <f t="shared" si="14"/>
        <v>3160</v>
      </c>
      <c r="Z19" s="828">
        <f t="shared" si="14"/>
        <v>0</v>
      </c>
      <c r="AA19" s="828">
        <f t="shared" si="14"/>
        <v>4196</v>
      </c>
      <c r="AB19" s="828">
        <f t="shared" si="14"/>
        <v>3329</v>
      </c>
      <c r="AC19" s="828">
        <f t="shared" si="14"/>
        <v>4456</v>
      </c>
      <c r="AD19" s="828">
        <f t="shared" si="14"/>
        <v>0</v>
      </c>
      <c r="AE19" s="830">
        <f t="shared" si="14"/>
        <v>0</v>
      </c>
      <c r="AF19" s="831">
        <f t="shared" si="14"/>
        <v>0</v>
      </c>
      <c r="AG19" s="832">
        <f t="shared" si="14"/>
        <v>0</v>
      </c>
      <c r="AH19" s="830">
        <f t="shared" si="14"/>
        <v>0</v>
      </c>
      <c r="AI19" s="820">
        <f t="shared" si="14"/>
        <v>1264</v>
      </c>
      <c r="AJ19" s="820">
        <f t="shared" si="14"/>
        <v>0</v>
      </c>
      <c r="AK19" s="830">
        <f t="shared" si="14"/>
        <v>0</v>
      </c>
      <c r="AL19" s="884">
        <f>IF(ISNUMBER(NºAsuntos!G19/NºAsuntos!E19),NºAsuntos!G19/NºAsuntos!E19," - ")</f>
        <v>0.89385030986810743</v>
      </c>
      <c r="AM19" s="885">
        <f>IF(ISNUMBER(((NºAsuntos!I19/NºAsuntos!G19)*11)/factor_trimestre),((NºAsuntos!I19/NºAsuntos!G19)*11)/factor_trimestre," - ")</f>
        <v>8.7994666666666674</v>
      </c>
      <c r="AN19" s="885">
        <f>IF(ISNUMBER('Resol  Asuntos'!D19/NºAsuntos!G19),'Resol  Asuntos'!D19/NºAsuntos!G19," - ")</f>
        <v>0.22471111111111111</v>
      </c>
      <c r="AO19" s="886">
        <f>IF(ISNUMBER((NºAsuntos!C19+NºAsuntos!E19)/NºAsuntos!G19),(NºAsuntos!C19+NºAsuntos!E19)/NºAsuntos!G19," - ")</f>
        <v>4.1102222222222222</v>
      </c>
      <c r="AP19" s="887" t="str">
        <f t="shared" si="2"/>
        <v xml:space="preserve"> - </v>
      </c>
      <c r="AQ19" s="888">
        <f>IF(OR(ISNUMBER(FIND("01",Criterios!A8,1)),ISNUMBER(FIND("02",Criterios!A8,1)),ISNUMBER(FIND("03",Criterios!A8,1)),ISNUMBER(FIND("04",Criterios!A8,1))),(I19-W19+K19)/(F19-K19),(H19-W19+K19)/(F19-K19))</f>
        <v>-0.78050692448393</v>
      </c>
      <c r="AR19" s="889">
        <f>IF(ISNUMBER((Datos!P19-Datos!Q19)/(Datos!R19-Datos!P19+Datos!Q19)),(Datos!P19-Datos!Q19)/(Datos!R19-Datos!P19+Datos!Q19)," - ")</f>
        <v>8.0844155844155843E-2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1690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2143.7015495010805</v>
      </c>
      <c r="G21" s="253">
        <f>IF(ISNUMBER(STDEV(G8:G18)),STDEV(G8:G18),"-")</f>
        <v>2213.2264908951365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1580.6499296175609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465.40935386675096</v>
      </c>
      <c r="AJ21" s="252">
        <f t="shared" si="18"/>
        <v>0</v>
      </c>
      <c r="AK21" s="254">
        <f t="shared" si="18"/>
        <v>0</v>
      </c>
      <c r="AL21" s="249">
        <f t="shared" si="18"/>
        <v>0.11247658454703802</v>
      </c>
      <c r="AM21" s="250">
        <f t="shared" si="18"/>
        <v>5.6054520403723336</v>
      </c>
      <c r="AN21" s="250">
        <f t="shared" si="18"/>
        <v>0.1524647621587851</v>
      </c>
      <c r="AO21" s="251">
        <f t="shared" si="18"/>
        <v>1.8723658272029331</v>
      </c>
      <c r="AP21" s="291" t="str">
        <f t="shared" si="18"/>
        <v>-</v>
      </c>
      <c r="AQ21" s="292">
        <f t="shared" si="18"/>
        <v>0.39653787513252575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O8sayXQ/iJNVAZcsYxDaNukTDT0jkB+XbOGJVDDLSA6WnqTjy5v+ozuhzWMzljolB4xXfzPvjaX79+LheD+FaQ==" saltValue="i/CaDW74Ay99QItcEUSUL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EL PRAT DE LLOBREGAT</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3.6363636363636362E-2</v>
      </c>
      <c r="E10" s="348">
        <f>IF(ISNUMBER((Datos!J10-Datos!T10)/Datos!T10),(Datos!J10-Datos!T10)/Datos!T10," - ")</f>
        <v>0.2</v>
      </c>
      <c r="F10" s="348">
        <f>IF(ISNUMBER((Datos!K10-Datos!U10)/Datos!U10),(Datos!K10-Datos!U10)/Datos!U10," - ")</f>
        <v>0.8571428571428571</v>
      </c>
      <c r="G10" s="349">
        <f>IF(ISNUMBER((Datos!L10-Datos!V10)/Datos!V10),(Datos!L10-Datos!V10)/Datos!V10," - ")</f>
        <v>-3.4482758620689655E-2</v>
      </c>
      <c r="H10" s="230">
        <f>IF(ISNUMBER((Datos!M10-Datos!W10)/Datos!W10),(Datos!M10-Datos!W10)/Datos!W10," - ")</f>
        <v>0</v>
      </c>
      <c r="I10" s="350">
        <f>IF(ISNUMBER((Tasas!C10-Datos!BE10)/Datos!BE10),(Tasas!C10-Datos!BE10)/Datos!BE10," - ")</f>
        <v>-0.48010610079575605</v>
      </c>
      <c r="J10" s="349">
        <f>IF(ISNUMBER((Tasas!D10-Datos!BF10)/Datos!BF10),(Tasas!D10-Datos!BF10)/Datos!BF10," - ")</f>
        <v>-0.46153846153846145</v>
      </c>
      <c r="K10" s="351">
        <f>IF(ISNUMBER((Tasas!E10-Datos!BG10)/Datos!BG10),(Tasas!E10-Datos!BG10)/Datos!BG10," - ")</f>
        <v>-0.42840236686390537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-4.2024832855778411E-2</v>
      </c>
      <c r="I12" s="350">
        <f>IF(ISNUMBER((Tasas!C12-Datos!BE12)/Datos!BE12),(Tasas!C12-Datos!BE12)/Datos!BE12," - ")</f>
        <v>-7.9909057069653289E-2</v>
      </c>
      <c r="J12" s="349">
        <f>IF(ISNUMBER((Tasas!D12-Datos!BF12)/Datos!BF12),(Tasas!D12-Datos!BF12)/Datos!BF12," - ")</f>
        <v>0.95690747975342583</v>
      </c>
      <c r="K12" s="351">
        <f>IF(ISNUMBER((Tasas!E12-Datos!BG12)/Datos!BG12),(Tasas!E12-Datos!BG12)/Datos!BG12," - ")</f>
        <v>-2.0163153590559601E-2</v>
      </c>
      <c r="M12" t="e">
        <f>IF(Monitorios="SI",Datos!CE12,0)</f>
        <v>#REF!</v>
      </c>
      <c r="N12" t="e">
        <f>IF(Monitorios="SI",Datos!CF12,0)</f>
        <v>#REF!</v>
      </c>
      <c r="O12" t="e">
        <f>IF(Monitorios="SI",Datos!CG12,0)</f>
        <v>#REF!</v>
      </c>
      <c r="P12" t="e">
        <f>IF(Monitorios="SI",Datos!CH12,0)</f>
        <v>#REF!</v>
      </c>
      <c r="Q12">
        <f>IF(J_V="SI",0,Datos!AG12)</f>
        <v>87</v>
      </c>
      <c r="R12">
        <f>IF(J_V="SI",0,Datos!AH12)</f>
        <v>45</v>
      </c>
      <c r="S12">
        <f>IF(J_V="SI",0,Datos!AI12)</f>
        <v>45</v>
      </c>
      <c r="T12">
        <f>IF(J_V="SI",0,Datos!AJ12)</f>
        <v>87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-4.1944709246901808E-2</v>
      </c>
      <c r="I13" s="357">
        <f>IF(ISNUMBER((Tasas!C13-Datos!BE13)/Datos!BE13),(Tasas!C13-Datos!BE13)/Datos!BE13," - ")</f>
        <v>-8.1843767870267342E-2</v>
      </c>
      <c r="J13" s="355">
        <f>IF(ISNUMBER((Tasas!D13-Datos!BF13)/Datos!BF13),(Tasas!D13-Datos!BF13)/Datos!BF13," - ")</f>
        <v>0.94869180080266158</v>
      </c>
      <c r="K13" s="358">
        <f>IF(ISNUMBER((Tasas!E13-Datos!BG13)/Datos!BG13),(Tasas!E13-Datos!BG13)/Datos!BG13," - ")</f>
        <v>-2.2093026138148023E-2</v>
      </c>
      <c r="M13" t="e">
        <f>IF(Monitorios="SI",Datos!CE13,0)</f>
        <v>#REF!</v>
      </c>
      <c r="N13" t="e">
        <f>IF(Monitorios="SI",Datos!CF13,0)</f>
        <v>#REF!</v>
      </c>
      <c r="O13" t="e">
        <f>IF(Monitorios="SI",Datos!CG13,0)</f>
        <v>#REF!</v>
      </c>
      <c r="P13" t="e">
        <f>IF(Monitorios="SI",Datos!CH13,0)</f>
        <v>#REF!</v>
      </c>
      <c r="Q13">
        <f>IF(J_V="SI",0,Datos!AG13)</f>
        <v>87</v>
      </c>
      <c r="R13">
        <f>IF(J_V="SI",0,Datos!AH13)</f>
        <v>45</v>
      </c>
      <c r="S13">
        <f>IF(J_V="SI",0,Datos!AI13)</f>
        <v>45</v>
      </c>
      <c r="T13">
        <f>IF(J_V="SI",0,Datos!AJ13)</f>
        <v>87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0.34392585236676598</v>
      </c>
      <c r="E16" s="348">
        <f>IF(ISNUMBER(
   IF(D_I="SI",(Datos!J16-Datos!T16)/Datos!T16,(Datos!J16+Datos!AD16-(Datos!T16+Datos!AL16))/(Datos!T16+Datos!AL16))
     ),IF(D_I="SI",(Datos!J16-Datos!T16)/Datos!T16,(Datos!J16+Datos!AD16-(Datos!T16+Datos!AL16))/(Datos!T16+Datos!AL16))," - ")</f>
        <v>0.36629406706792778</v>
      </c>
      <c r="F16" s="348">
        <f>IF(ISNUMBER(
   IF(D_I="SI",(Datos!K16-Datos!U16)/Datos!U16,(Datos!K16+Datos!AE16-(Datos!U16+Datos!AM16))/(Datos!U16+Datos!AM16))
     ),IF(D_I="SI",(Datos!K16-Datos!U16)/Datos!U16,(Datos!K16+Datos!AE16-(Datos!U16+Datos!AM16))/(Datos!U16+Datos!AM16))," - ")</f>
        <v>0.42074074074074075</v>
      </c>
      <c r="G16" s="349">
        <f>IF(ISNUMBER(
   IF(D_I="SI",(Datos!L16-Datos!V16)/Datos!V16,(Datos!L16+Datos!AF16-(Datos!V16+Datos!AN16))/(Datos!V16+Datos!AN16))
     ),IF(D_I="SI",(Datos!L16-Datos!V16)/Datos!V16,(Datos!L16+Datos!AF16-(Datos!V16+Datos!AN16))/(Datos!V16+Datos!AN16))," - ")</f>
        <v>0.22325721153846154</v>
      </c>
      <c r="H16" s="230">
        <f>IF(ISNUMBER((Datos!M16-Datos!W16)/Datos!W16),(Datos!M16-Datos!W16)/Datos!W16," - ")</f>
        <v>0.30769230769230771</v>
      </c>
      <c r="I16" s="350">
        <f>IF(ISNUMBER((Tasas!C16-Datos!BE16)/Datos!BE16),(Tasas!C16-Datos!BE16)/Datos!BE16," - ")</f>
        <v>-0.13900039855217775</v>
      </c>
      <c r="J16" s="349">
        <f>IF(ISNUMBER((Tasas!D16-Datos!BF16)/Datos!BF16),(Tasas!D16-Datos!BF16)/Datos!BF16," - ")</f>
        <v>-7.9570064971524801E-2</v>
      </c>
      <c r="K16" s="351">
        <f>IF(ISNUMBER((Tasas!E16-Datos!BG16)/Datos!BG16),(Tasas!E16-Datos!BG16)/Datos!BG16," - ")</f>
        <v>-4.7217963821721436E-2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1.8867924528301886E-2</v>
      </c>
      <c r="E17" s="348">
        <f>IF(ISNUMBER(
   IF(D_I="SI",(Datos!J17-Datos!T17)/Datos!T17,(Datos!J17+Datos!AD17-(Datos!T17+Datos!AL17))/(Datos!T17+Datos!AL17))
     ),IF(D_I="SI",(Datos!J17-Datos!T17)/Datos!T17,(Datos!J17+Datos!AD17-(Datos!T17+Datos!AL17))/(Datos!T17+Datos!AL17))," - ")</f>
        <v>0.11688311688311688</v>
      </c>
      <c r="F17" s="348">
        <f>IF(ISNUMBER(
   IF(D_I="SI",(Datos!K17-Datos!U17)/Datos!U17,(Datos!K17+Datos!AE17-(Datos!U17+Datos!AM17))/(Datos!U17+Datos!AM17))
     ),IF(D_I="SI",(Datos!K17-Datos!U17)/Datos!U17,(Datos!K17+Datos!AE17-(Datos!U17+Datos!AM17))/(Datos!U17+Datos!AM17))," - ")</f>
        <v>0.36619718309859156</v>
      </c>
      <c r="G17" s="349">
        <f>IF(ISNUMBER(
   IF(D_I="SI",(Datos!L17-Datos!V17)/Datos!V17,(Datos!L17+Datos!AF17-(Datos!V17+Datos!AN17))/(Datos!V17+Datos!AN17))
     ),IF(D_I="SI",(Datos!L17-Datos!V17)/Datos!V17,(Datos!L17+Datos!AF17-(Datos!V17+Datos!AN17))/(Datos!V17+Datos!AN17))," - ")</f>
        <v>-0.38392857142857145</v>
      </c>
      <c r="H17" s="230">
        <f>IF(ISNUMBER((Datos!M17-Datos!W17)/Datos!W17),(Datos!M17-Datos!W17)/Datos!W17," - ")</f>
        <v>0.33333333333333331</v>
      </c>
      <c r="I17" s="350">
        <f>IF(ISNUMBER((Tasas!C17-Datos!BE17)/Datos!BE17),(Tasas!C17-Datos!BE17)/Datos!BE17," - ")</f>
        <v>-0.54906111929307799</v>
      </c>
      <c r="J17" s="349">
        <f>IF(ISNUMBER((Tasas!D17-Datos!BF17)/Datos!BF17),(Tasas!D17-Datos!BF17)/Datos!BF17," - ")</f>
        <v>-2.4054982817869417E-2</v>
      </c>
      <c r="K17" s="351">
        <f>IF(ISNUMBER((Tasas!E17-Datos!BG17)/Datos!BG17),(Tasas!E17-Datos!BG17)/Datos!BG17," - ")</f>
        <v>-0.22404371584699456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0.33290693955868245</v>
      </c>
      <c r="E18" s="354">
        <f>IF(ISNUMBER(
   IF(D_I="SI",(Datos!J18-Datos!T18)/Datos!T18,(Datos!J18+Datos!AD18-(Datos!T18+Datos!AL18))/(Datos!T18+Datos!AL18))
     ),IF(D_I="SI",(Datos!J18-Datos!T18)/Datos!T18,(Datos!J18+Datos!AD18-(Datos!T18+Datos!AL18))/(Datos!T18+Datos!AL18))," - ")</f>
        <v>0.35830212234706615</v>
      </c>
      <c r="F18" s="354">
        <f>IF(ISNUMBER(
   IF(D_I="SI",(Datos!K18-Datos!U18)/Datos!U18,(Datos!K18+Datos!AE18-(Datos!U18+Datos!AM18))/(Datos!U18+Datos!AM18))
     ),IF(D_I="SI",(Datos!K18-Datos!U18)/Datos!U18,(Datos!K18+Datos!AE18-(Datos!U18+Datos!AM18))/(Datos!U18+Datos!AM18))," - ")</f>
        <v>0.41889312977099236</v>
      </c>
      <c r="G18" s="355">
        <f>IF(ISNUMBER(
   IF(D_I="SI",(Datos!L18-Datos!V18)/Datos!V18,(Datos!L18+Datos!AF18-(Datos!V18+Datos!AN18))/(Datos!V18+Datos!AN18))
     ),IF(D_I="SI",(Datos!L18-Datos!V18)/Datos!V18,(Datos!L18+Datos!AF18-(Datos!V18+Datos!AN18))/(Datos!V18+Datos!AN18))," - ")</f>
        <v>0.20348837209302326</v>
      </c>
      <c r="H18" s="356">
        <f>IF(ISNUMBER((Datos!M18-Datos!W18)/Datos!W18),(Datos!M18-Datos!W18)/Datos!W18," - ")</f>
        <v>0.30808080808080807</v>
      </c>
      <c r="I18" s="357">
        <f>IF(ISNUMBER((Tasas!C18-Datos!BE18)/Datos!BE18),(Tasas!C18-Datos!BE18)/Datos!BE18," - ")</f>
        <v>-0.15181182652758007</v>
      </c>
      <c r="J18" s="355">
        <f>IF(ISNUMBER((Tasas!D18-Datos!BF18)/Datos!BF18),(Tasas!D18-Datos!BF18)/Datos!BF18," - ")</f>
        <v>-7.8097722347890475E-2</v>
      </c>
      <c r="K18" s="358">
        <f>IF(ISNUMBER((Tasas!E18-Datos!BG18)/Datos!BG18),(Tasas!E18-Datos!BG18)/Datos!BG18," - ")</f>
        <v>-5.2823566752724954E-2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5.2937863713159374E-2</v>
      </c>
      <c r="E19" s="363">
        <f>IF(ISNUMBER(
   IF(J_V="SI",(Datos!J19-Datos!T19)/Datos!T19,(Datos!J19+Datos!Z19-(Datos!T19+Datos!AH19))/(Datos!T19+Datos!AH19))
     ),IF(J_V="SI",(Datos!J19-Datos!T19)/Datos!T19,(Datos!J19+Datos!Z19-(Datos!T19+Datos!AH19))/(Datos!T19+Datos!AH19))," - ")</f>
        <v>0.24097811082626699</v>
      </c>
      <c r="F19" s="363">
        <f>IF(ISNUMBER(
   IF(J_V="SI",(Datos!K19-Datos!U19)/Datos!U19,(Datos!K19+Datos!AA19-(Datos!U19+Datos!AI19))/(Datos!U19+Datos!AI19))
     ),IF(J_V="SI",(Datos!K19-Datos!U19)/Datos!U19,(Datos!K19+Datos!AA19-(Datos!U19+Datos!AI19))/(Datos!U19+Datos!AI19))," - ")</f>
        <v>0.20682257026389186</v>
      </c>
      <c r="G19" s="364">
        <f>IF(ISNUMBER(
   IF(J_V="SI",(Datos!L19-Datos!V19)/Datos!V19,(Datos!L19+Datos!AB19-(Datos!V19+Datos!AJ19))/(Datos!V19+Datos!AJ19))
     ),IF(J_V="SI",(Datos!L19-Datos!V19)/Datos!V19,(Datos!L19+Datos!AB19-(Datos!V19+Datos!AJ19))/(Datos!V19+Datos!AJ19))," - ")</f>
        <v>2.1258503401360546E-3</v>
      </c>
      <c r="H19" s="365">
        <f>IF(ISNUMBER((Datos!M19-Datos!W19)/Datos!W19),(Datos!M19-Datos!W19)/Datos!W19," - ")</f>
        <v>1.3632718524458701E-2</v>
      </c>
      <c r="I19" s="362">
        <f>IF(ISNUMBER((Tasas!C19-Datos!BE19)/Datos!BE19),(Tasas!C19-Datos!BE19)/Datos!BE19," - ")</f>
        <v>-0.16961625094482236</v>
      </c>
      <c r="J19" s="363">
        <f>IF(ISNUMBER((Tasas!D19-Datos!BF19)/Datos!BF19),(Tasas!D19-Datos!BF19)/Datos!BF19," - ")</f>
        <v>0.50269510600988365</v>
      </c>
      <c r="K19" s="364">
        <f>IF(ISNUMBER((Tasas!E19-Datos!BG19)/Datos!BG19),(Tasas!E19-Datos!BG19)/Datos!BG19," - ")</f>
        <v>-8.9979774948804048E-2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0.17963925034323877</v>
      </c>
      <c r="E21" s="278">
        <f t="shared" si="1"/>
        <v>0.12253384715809404</v>
      </c>
      <c r="F21" s="278">
        <f t="shared" si="1"/>
        <v>0.22900010221009309</v>
      </c>
      <c r="G21" s="279">
        <f t="shared" si="1"/>
        <v>0.28273906918840752</v>
      </c>
      <c r="H21" s="285">
        <f t="shared" si="1"/>
        <v>0.18946305824559811</v>
      </c>
      <c r="I21" s="277">
        <f t="shared" si="1"/>
        <v>0.21047566537383164</v>
      </c>
      <c r="J21" s="278">
        <f t="shared" si="1"/>
        <v>0.59600875987906476</v>
      </c>
      <c r="K21" s="279">
        <f t="shared" si="1"/>
        <v>0.1639323508857666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WPZhI3jU1QkVjLqzi4Ick+ROXX1zKGpiz1LUddojkVZY6z79i/+0d1ieGevdstiI4xnm6GG01qmQRg9rktUuA==" saltValue="BqCNTDDym8Ivc2ZIWvXYQ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